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6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85" tabRatio="744" firstSheet="4" activeTab="4"/>
  </bookViews>
  <sheets>
    <sheet name="Gráfico1" sheetId="1" r:id="rId1"/>
    <sheet name="Gráfico2" sheetId="2" r:id="rId2"/>
    <sheet name="Gráfico3" sheetId="3" r:id="rId3"/>
    <sheet name="Gráfico4" sheetId="4" r:id="rId4"/>
    <sheet name="Hoja1" sheetId="5" r:id="rId5"/>
    <sheet name="Hoja2" sheetId="6" r:id="rId6"/>
    <sheet name="Hoja3" sheetId="7" r:id="rId7"/>
  </sheets>
  <definedNames>
    <definedName name="_xlnm.Print_Area" localSheetId="4">'Hoja1'!$A$1:$Q$19</definedName>
    <definedName name="_xlnm.Print_Area" localSheetId="6">'Hoja3'!$A$3:$M$27</definedName>
  </definedNames>
  <calcPr fullCalcOnLoad="1"/>
</workbook>
</file>

<file path=xl/comments5.xml><?xml version="1.0" encoding="utf-8"?>
<comments xmlns="http://schemas.openxmlformats.org/spreadsheetml/2006/main">
  <authors>
    <author>GSuarez</author>
  </authors>
  <commentList>
    <comment ref="K11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Extorno por S/.581.15 del 21.05.2012</t>
        </r>
      </text>
    </comment>
  </commentList>
</comments>
</file>

<file path=xl/comments6.xml><?xml version="1.0" encoding="utf-8"?>
<comments xmlns="http://schemas.openxmlformats.org/spreadsheetml/2006/main">
  <authors>
    <author>GSuarez</author>
  </authors>
  <commentList>
    <comment ref="C16" authorId="0">
      <text>
        <r>
          <rPr>
            <b/>
            <sz val="9"/>
            <rFont val="Tahoma"/>
            <family val="2"/>
          </rPr>
          <t>GSuarez:</t>
        </r>
        <r>
          <rPr>
            <sz val="9"/>
            <rFont val="Tahoma"/>
            <family val="2"/>
          </rPr>
          <t xml:space="preserve">
regulariza Saldo
</t>
        </r>
      </text>
    </comment>
  </commentList>
</comments>
</file>

<file path=xl/sharedStrings.xml><?xml version="1.0" encoding="utf-8"?>
<sst xmlns="http://schemas.openxmlformats.org/spreadsheetml/2006/main" count="125" uniqueCount="62">
  <si>
    <t>(En nuevos soles)</t>
  </si>
  <si>
    <t>AGOSTO</t>
  </si>
  <si>
    <t>SETIEMBRE</t>
  </si>
  <si>
    <t>OCTUBRE</t>
  </si>
  <si>
    <t>NOVIEMBRE</t>
  </si>
  <si>
    <t>DICIEMBRE</t>
  </si>
  <si>
    <t>INTERSEGUROS</t>
  </si>
  <si>
    <t>CONVENIO FONDO - SAT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</si>
  <si>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</si>
  <si>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</si>
  <si>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</si>
  <si>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</si>
  <si>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</si>
  <si>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</si>
  <si>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</si>
  <si>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</si>
  <si>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Total Aporte por Compañía</t>
  </si>
  <si>
    <t>Meses  /  Compañías</t>
  </si>
  <si>
    <t>PACIFICO</t>
  </si>
  <si>
    <t>RIMAC</t>
  </si>
  <si>
    <t>MAPFRE</t>
  </si>
  <si>
    <t>Indemnización por Muerte no Cobrada</t>
  </si>
  <si>
    <t>Dif.</t>
  </si>
  <si>
    <t>LA POSITIVA</t>
  </si>
  <si>
    <t>MAPFRE PERÚ</t>
  </si>
  <si>
    <t>EL PACIFICO PERUANO SUIZA</t>
  </si>
  <si>
    <t>RIMAC INTERNACIONAL</t>
  </si>
  <si>
    <t>TOTAL</t>
  </si>
  <si>
    <t>Ventas</t>
  </si>
  <si>
    <t>1% Ventas</t>
  </si>
  <si>
    <t>Totales</t>
  </si>
  <si>
    <t>Ingreso Mensual en Cta. Cte</t>
  </si>
  <si>
    <t>Total Recaudado</t>
  </si>
  <si>
    <t>SULAMERICA</t>
  </si>
  <si>
    <t>GENERALI PERU</t>
  </si>
  <si>
    <t>CUADRO DE PRIMAS NETAS Y APORTES DE ASEGURADORAS AL FONDO SEGÚN EL MES CORRESPONDIENTE</t>
  </si>
  <si>
    <t>Acumulado</t>
  </si>
  <si>
    <t>Mensual</t>
  </si>
  <si>
    <t>CUADRO DE PRIMAS NETAS POR EMPRESA DE SEGUROS SEGÚN SBS</t>
  </si>
  <si>
    <t>Total Aportes Recaudado</t>
  </si>
  <si>
    <t>NOTA:  Este cuadro nos muestra los montos ingresados a la Cta.Cte. del Fondo, de acuerdo al mes que corresponde.</t>
  </si>
  <si>
    <t>NOTA:  Este cuadro nos muestra los montos reportados a la SBS por las Empresas Aseguradoras, los montos en color rojo, son porque existe diferencia entre lo reportado a la SBS y lo depósitado al FONDO.</t>
  </si>
  <si>
    <t>INTERESES</t>
  </si>
  <si>
    <t>Total</t>
  </si>
  <si>
    <t>MUNI.PROV.</t>
  </si>
  <si>
    <t>ANEXO Nº 12</t>
  </si>
  <si>
    <t>ANEXO Nº 14</t>
  </si>
  <si>
    <t>ANEXO Nº 15</t>
  </si>
  <si>
    <t>CUADRO DE RECAUDACIÓN DEL FONDO DE COMPENSACIÓN DEL SOAT Y DEL CAT</t>
  </si>
  <si>
    <t>PROTECTA</t>
  </si>
  <si>
    <t>APORTE AFOCAT</t>
  </si>
  <si>
    <t xml:space="preserve">Para determinar las primas netas acumuladas a cargo de la Empresa Aseguradora La Positiva, se ha incluido las primas netas reportadas por la Co-Aseguradora Protecta. </t>
  </si>
  <si>
    <t>Depósito</t>
  </si>
  <si>
    <t>SBS</t>
  </si>
  <si>
    <t>Diferencia</t>
  </si>
  <si>
    <t>(a)</t>
  </si>
  <si>
    <t>La Positiva</t>
  </si>
  <si>
    <t>(b)</t>
  </si>
  <si>
    <t>(a) + (b)</t>
  </si>
  <si>
    <t>SEGÚN PLANILLAS</t>
  </si>
  <si>
    <t>DEV.GTOS</t>
  </si>
  <si>
    <t>AL 31 DE DICIEMBRE DE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</si>
</sst>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 * #\ ###\ ##0____\ ;_(* \(#\ ###\ ##0\)_ __\ ;_ * &quot;-&quot;??_ ;_ @_ "/>
    <numFmt numFmtId="184" formatCode="0.0"/>
    <numFmt numFmtId="185" formatCode="_ * #,##0.0_ ;_ * \-#,##0.0_ ;_ * &quot;-&quot;?_ ;_ @_ "/>
  </numFmts>
  <fonts count="5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.5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4.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0" fillId="34" borderId="12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10" fillId="34" borderId="14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" fontId="10" fillId="0" borderId="18" xfId="0" applyNumberFormat="1" applyFont="1" applyFill="1" applyBorder="1" applyAlignment="1">
      <alignment horizontal="right" vertical="center" wrapText="1"/>
    </xf>
    <xf numFmtId="0" fontId="4" fillId="35" borderId="17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183" fontId="11" fillId="0" borderId="19" xfId="5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" fillId="35" borderId="2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2" fillId="36" borderId="21" xfId="0" applyNumberFormat="1" applyFont="1" applyFill="1" applyBorder="1" applyAlignment="1">
      <alignment horizontal="right" vertical="center" wrapText="1"/>
    </xf>
    <xf numFmtId="4" fontId="1" fillId="36" borderId="22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 horizontal="right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right" vertical="center" wrapText="1"/>
    </xf>
    <xf numFmtId="0" fontId="2" fillId="35" borderId="19" xfId="0" applyFont="1" applyFill="1" applyBorder="1" applyAlignment="1">
      <alignment horizontal="center" vertical="center" wrapText="1"/>
    </xf>
    <xf numFmtId="4" fontId="2" fillId="36" borderId="26" xfId="0" applyNumberFormat="1" applyFont="1" applyFill="1" applyBorder="1" applyAlignment="1">
      <alignment horizontal="right" vertical="center" wrapText="1"/>
    </xf>
    <xf numFmtId="4" fontId="2" fillId="36" borderId="27" xfId="0" applyNumberFormat="1" applyFont="1" applyFill="1" applyBorder="1" applyAlignment="1">
      <alignment horizontal="right" vertical="center" wrapText="1"/>
    </xf>
    <xf numFmtId="4" fontId="2" fillId="35" borderId="28" xfId="0" applyNumberFormat="1" applyFont="1" applyFill="1" applyBorder="1" applyAlignment="1">
      <alignment horizontal="right" vertical="center" wrapText="1"/>
    </xf>
    <xf numFmtId="0" fontId="2" fillId="35" borderId="29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36" borderId="30" xfId="0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4" fontId="2" fillId="36" borderId="33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right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4" fontId="10" fillId="34" borderId="29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183" fontId="11" fillId="0" borderId="23" xfId="50" applyNumberFormat="1" applyFont="1" applyFill="1" applyBorder="1" applyAlignment="1">
      <alignment vertical="center"/>
    </xf>
    <xf numFmtId="1" fontId="10" fillId="0" borderId="25" xfId="0" applyNumberFormat="1" applyFont="1" applyFill="1" applyBorder="1" applyAlignment="1">
      <alignment horizontal="right" vertical="center" wrapText="1"/>
    </xf>
    <xf numFmtId="183" fontId="11" fillId="0" borderId="21" xfId="50" applyNumberFormat="1" applyFont="1" applyFill="1" applyBorder="1" applyAlignment="1">
      <alignment vertical="center"/>
    </xf>
    <xf numFmtId="0" fontId="5" fillId="35" borderId="39" xfId="0" applyFont="1" applyFill="1" applyBorder="1" applyAlignment="1">
      <alignment horizontal="center" vertical="center" wrapText="1"/>
    </xf>
    <xf numFmtId="183" fontId="11" fillId="0" borderId="0" xfId="50" applyNumberFormat="1" applyFont="1" applyFill="1" applyBorder="1" applyAlignment="1">
      <alignment vertical="center"/>
    </xf>
    <xf numFmtId="0" fontId="1" fillId="35" borderId="40" xfId="0" applyFont="1" applyFill="1" applyBorder="1" applyAlignment="1">
      <alignment horizontal="center" vertical="center" wrapText="1"/>
    </xf>
    <xf numFmtId="183" fontId="11" fillId="0" borderId="41" xfId="50" applyNumberFormat="1" applyFont="1" applyFill="1" applyBorder="1" applyAlignment="1">
      <alignment vertical="center"/>
    </xf>
    <xf numFmtId="183" fontId="11" fillId="0" borderId="24" xfId="50" applyNumberFormat="1" applyFont="1" applyFill="1" applyBorder="1" applyAlignment="1">
      <alignment vertical="center"/>
    </xf>
    <xf numFmtId="183" fontId="11" fillId="0" borderId="14" xfId="50" applyNumberFormat="1" applyFont="1" applyFill="1" applyBorder="1" applyAlignment="1">
      <alignment vertical="center"/>
    </xf>
    <xf numFmtId="183" fontId="11" fillId="0" borderId="26" xfId="5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37" borderId="12" xfId="0" applyNumberFormat="1" applyFill="1" applyBorder="1" applyAlignment="1">
      <alignment/>
    </xf>
    <xf numFmtId="1" fontId="10" fillId="37" borderId="25" xfId="0" applyNumberFormat="1" applyFont="1" applyFill="1" applyBorder="1" applyAlignment="1">
      <alignment horizontal="right" vertical="center" wrapText="1"/>
    </xf>
    <xf numFmtId="1" fontId="10" fillId="37" borderId="18" xfId="0" applyNumberFormat="1" applyFont="1" applyFill="1" applyBorder="1" applyAlignment="1">
      <alignment horizontal="right" vertical="center" wrapText="1"/>
    </xf>
    <xf numFmtId="183" fontId="11" fillId="37" borderId="24" xfId="50" applyNumberFormat="1" applyFont="1" applyFill="1" applyBorder="1" applyAlignment="1">
      <alignment vertical="center"/>
    </xf>
    <xf numFmtId="183" fontId="11" fillId="37" borderId="14" xfId="50" applyNumberFormat="1" applyFont="1" applyFill="1" applyBorder="1" applyAlignment="1">
      <alignment vertical="center"/>
    </xf>
    <xf numFmtId="1" fontId="10" fillId="0" borderId="26" xfId="0" applyNumberFormat="1" applyFont="1" applyFill="1" applyBorder="1" applyAlignment="1">
      <alignment horizontal="right" vertical="center" wrapText="1"/>
    </xf>
    <xf numFmtId="183" fontId="11" fillId="37" borderId="0" xfId="5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Primas_1_092001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RECAUDACIÓN POR EMPRESA ASEGURADORA</a:t>
            </a:r>
          </a:p>
        </c:rich>
      </c:tx>
      <c:layout>
        <c:manualLayout>
          <c:xMode val="factor"/>
          <c:yMode val="factor"/>
          <c:x val="0.03175"/>
          <c:y val="0.08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7"/>
          <c:y val="0.3075"/>
          <c:w val="0.4465"/>
          <c:h val="0.31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1445838.7600000002</c:v>
                </c:pt>
                <c:pt idx="1">
                  <c:v>263033.97</c:v>
                </c:pt>
                <c:pt idx="2">
                  <c:v>237309.57000000004</c:v>
                </c:pt>
                <c:pt idx="3">
                  <c:v>299904.74</c:v>
                </c:pt>
                <c:pt idx="4">
                  <c:v>586255.2000000001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25"/>
          <c:y val="0.8135"/>
          <c:w val="0.530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TIPO DE INGRESO</a:t>
            </a:r>
          </a:p>
        </c:rich>
      </c:tx>
      <c:layout>
        <c:manualLayout>
          <c:xMode val="factor"/>
          <c:yMode val="factor"/>
          <c:x val="-0.00475"/>
          <c:y val="-0.018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075"/>
          <c:y val="0.06625"/>
          <c:w val="0.8925"/>
          <c:h val="0.883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C3D69B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Hoja1!$J$6:$O$6</c:f>
              <c:strCache>
                <c:ptCount val="6"/>
                <c:pt idx="0">
                  <c:v>Total Aportes Recaudado</c:v>
                </c:pt>
                <c:pt idx="1">
                  <c:v>CONVENIO FONDO - SAT</c:v>
                </c:pt>
                <c:pt idx="2">
                  <c:v>DEV.GTOS</c:v>
                </c:pt>
                <c:pt idx="3">
                  <c:v>INTERESES</c:v>
                </c:pt>
                <c:pt idx="4">
                  <c:v>MUNI.PROV.</c:v>
                </c:pt>
                <c:pt idx="5">
                  <c:v>Indemnización por Muerte no Cobrada</c:v>
                </c:pt>
              </c:strCache>
            </c:strRef>
          </c:cat>
          <c:val>
            <c:numRef>
              <c:f>Hoja1!$J$19:$O$19</c:f>
              <c:numCache>
                <c:ptCount val="6"/>
                <c:pt idx="0">
                  <c:v>2832342.24</c:v>
                </c:pt>
                <c:pt idx="1">
                  <c:v>681380.5700000001</c:v>
                </c:pt>
                <c:pt idx="2">
                  <c:v>71.39999999999999</c:v>
                </c:pt>
                <c:pt idx="3">
                  <c:v>4808.700000000001</c:v>
                </c:pt>
                <c:pt idx="4">
                  <c:v>846347.51</c:v>
                </c:pt>
                <c:pt idx="5">
                  <c:v>1272499.99</c:v>
                </c:pt>
              </c:numCache>
            </c:numRef>
          </c:val>
          <c:shape val="box"/>
        </c:ser>
        <c:shape val="box"/>
        <c:axId val="6890290"/>
        <c:axId val="62012611"/>
        <c:axId val="21242588"/>
      </c:bar3D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0290"/>
        <c:crossesAt val="1"/>
        <c:crossBetween val="between"/>
        <c:dispUnits/>
      </c:valAx>
      <c:serAx>
        <c:axId val="21242588"/>
        <c:scaling>
          <c:orientation val="minMax"/>
        </c:scaling>
        <c:axPos val="b"/>
        <c:delete val="1"/>
        <c:majorTickMark val="out"/>
        <c:minorTickMark val="none"/>
        <c:tickLblPos val="none"/>
        <c:crossAx val="62012611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</a:t>
            </a:r>
          </a:p>
        </c:rich>
      </c:tx>
      <c:layout>
        <c:manualLayout>
          <c:xMode val="factor"/>
          <c:yMode val="factor"/>
          <c:x val="0.00825"/>
          <c:y val="-0.005"/>
        </c:manualLayout>
      </c:layout>
      <c:spPr>
        <a:noFill/>
        <a:ln w="3175">
          <a:noFill/>
        </a:ln>
      </c:spPr>
    </c:title>
    <c:view3D>
      <c:rotX val="44"/>
      <c:hPercent val="186"/>
      <c:rotY val="44"/>
      <c:depthPercent val="100"/>
      <c:rAngAx val="1"/>
    </c:view3D>
    <c:plotArea>
      <c:layout>
        <c:manualLayout>
          <c:xMode val="edge"/>
          <c:yMode val="edge"/>
          <c:x val="0.02025"/>
          <c:y val="0.0875"/>
          <c:w val="0.96225"/>
          <c:h val="0.8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93CDD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Hoja1!$Q$7:$Q$18</c:f>
              <c:numCache>
                <c:ptCount val="12"/>
                <c:pt idx="0">
                  <c:v>409081.27999999997</c:v>
                </c:pt>
                <c:pt idx="1">
                  <c:v>587037.86</c:v>
                </c:pt>
                <c:pt idx="2">
                  <c:v>414018.82</c:v>
                </c:pt>
                <c:pt idx="3">
                  <c:v>390292.39</c:v>
                </c:pt>
                <c:pt idx="4">
                  <c:v>790670.71</c:v>
                </c:pt>
                <c:pt idx="5">
                  <c:v>392078.39999999997</c:v>
                </c:pt>
                <c:pt idx="6">
                  <c:v>398044.64</c:v>
                </c:pt>
                <c:pt idx="7">
                  <c:v>459676.74</c:v>
                </c:pt>
                <c:pt idx="8">
                  <c:v>533648.36</c:v>
                </c:pt>
                <c:pt idx="9">
                  <c:v>454075.69999999995</c:v>
                </c:pt>
                <c:pt idx="10">
                  <c:v>516129.97400000005</c:v>
                </c:pt>
                <c:pt idx="11">
                  <c:v>629124.0800000001</c:v>
                </c:pt>
              </c:numCache>
            </c:numRef>
          </c:val>
          <c:shape val="box"/>
        </c:ser>
        <c:shape val="box"/>
        <c:axId val="56965565"/>
        <c:axId val="42928038"/>
      </c:bar3DChart>
      <c:catAx>
        <c:axId val="5696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MES DE RECAUDACIÓN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928038"/>
        <c:crosses val="autoZero"/>
        <c:auto val="1"/>
        <c:lblOffset val="100"/>
        <c:tickLblSkip val="1"/>
        <c:noMultiLvlLbl val="0"/>
      </c:catAx>
      <c:valAx>
        <c:axId val="429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MONTO RECAUDADO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655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MENSUAL- SAT LIMA
(2011)</a:t>
            </a:r>
          </a:p>
        </c:rich>
      </c:tx>
      <c:layout>
        <c:manualLayout>
          <c:xMode val="factor"/>
          <c:yMode val="factor"/>
          <c:x val="0.0045"/>
          <c:y val="0.06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5425"/>
          <c:w val="0.86575"/>
          <c:h val="0.64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3185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Hoja1!$K$7:$K$18</c:f>
              <c:numCache>
                <c:ptCount val="12"/>
                <c:pt idx="0">
                  <c:v>40120.81</c:v>
                </c:pt>
                <c:pt idx="1">
                  <c:v>49154.35</c:v>
                </c:pt>
                <c:pt idx="2">
                  <c:v>71721.55</c:v>
                </c:pt>
                <c:pt idx="3">
                  <c:v>60150.96</c:v>
                </c:pt>
                <c:pt idx="4">
                  <c:v>70659.89000000001</c:v>
                </c:pt>
                <c:pt idx="5">
                  <c:v>80983.02</c:v>
                </c:pt>
                <c:pt idx="6">
                  <c:v>42891.4</c:v>
                </c:pt>
                <c:pt idx="7">
                  <c:v>79327.01</c:v>
                </c:pt>
                <c:pt idx="8">
                  <c:v>32722.15</c:v>
                </c:pt>
                <c:pt idx="9">
                  <c:v>62015.46000000001</c:v>
                </c:pt>
                <c:pt idx="10">
                  <c:v>51715.03</c:v>
                </c:pt>
                <c:pt idx="11">
                  <c:v>39918.94</c:v>
                </c:pt>
              </c:numCache>
            </c:numRef>
          </c:val>
        </c:ser>
        <c:gapWidth val="100"/>
        <c:axId val="50808023"/>
        <c:axId val="54619024"/>
      </c:barChart>
      <c:catAx>
        <c:axId val="50808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024"/>
        <c:crosses val="autoZero"/>
        <c:auto val="1"/>
        <c:lblOffset val="100"/>
        <c:tickLblSkip val="1"/>
        <c:noMultiLvlLbl val="0"/>
      </c:catAx>
      <c:valAx>
        <c:axId val="5461902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802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58425" cy="5715000"/>
    <xdr:graphicFrame>
      <xdr:nvGraphicFramePr>
        <xdr:cNvPr id="1" name="Shape 1025"/>
        <xdr:cNvGraphicFramePr/>
      </xdr:nvGraphicFramePr>
      <xdr:xfrm>
        <a:off x="0" y="0"/>
        <a:ext cx="10258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58425" cy="5715000"/>
    <xdr:graphicFrame>
      <xdr:nvGraphicFramePr>
        <xdr:cNvPr id="1" name="Shape 1025"/>
        <xdr:cNvGraphicFramePr/>
      </xdr:nvGraphicFramePr>
      <xdr:xfrm>
        <a:off x="0" y="0"/>
        <a:ext cx="102584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1905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381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SheetLayoutView="100" zoomScalePageLayoutView="0" workbookViewId="0" topLeftCell="A1">
      <selection activeCell="O18" sqref="O18"/>
    </sheetView>
  </sheetViews>
  <sheetFormatPr defaultColWidth="11.421875" defaultRowHeight="12.75"/>
  <cols>
    <col min="1" max="1" width="20.8515625" style="0" customWidth="1"/>
    <col min="2" max="6" width="12.7109375" style="0" customWidth="1"/>
    <col min="7" max="7" width="10.28125" style="0" customWidth="1"/>
    <col min="8" max="8" width="10.8515625" style="0" customWidth="1"/>
    <col min="9" max="9" width="9.8515625" style="0" customWidth="1"/>
    <col min="10" max="11" width="12.7109375" style="0" customWidth="1"/>
    <col min="12" max="12" width="10.8515625" style="0" customWidth="1"/>
    <col min="13" max="13" width="10.7109375" style="0" customWidth="1"/>
    <col min="14" max="14" width="11.00390625" style="0" customWidth="1"/>
    <col min="15" max="19" width="12.7109375" style="0" customWidth="1"/>
  </cols>
  <sheetData>
    <row r="1" spans="1:17" ht="22.5" customHeight="1" thickBo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9" ht="18.75" thickBot="1">
      <c r="A2" s="82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  <c r="R2" s="11"/>
      <c r="S2" s="12"/>
    </row>
    <row r="3" spans="1:19" ht="18.75" thickBot="1">
      <c r="A3" s="82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15"/>
      <c r="S3" s="15"/>
    </row>
    <row r="4" spans="1:19" ht="12.75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13"/>
      <c r="S4" s="13"/>
    </row>
    <row r="5" spans="1:14" ht="13.5" thickBot="1">
      <c r="A5" s="80"/>
      <c r="B5" s="8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9" ht="39.75" customHeight="1">
      <c r="A6" s="28" t="s">
        <v>17</v>
      </c>
      <c r="B6" s="39" t="s">
        <v>23</v>
      </c>
      <c r="C6" s="39" t="s">
        <v>20</v>
      </c>
      <c r="D6" s="40" t="s">
        <v>6</v>
      </c>
      <c r="E6" s="39" t="s">
        <v>18</v>
      </c>
      <c r="F6" s="40" t="s">
        <v>19</v>
      </c>
      <c r="G6" s="40" t="s">
        <v>33</v>
      </c>
      <c r="H6" s="41" t="s">
        <v>34</v>
      </c>
      <c r="I6" s="39" t="s">
        <v>15</v>
      </c>
      <c r="J6" s="3" t="s">
        <v>39</v>
      </c>
      <c r="K6" s="29" t="s">
        <v>7</v>
      </c>
      <c r="L6" s="29" t="s">
        <v>60</v>
      </c>
      <c r="M6" s="29" t="s">
        <v>42</v>
      </c>
      <c r="N6" s="42" t="s">
        <v>44</v>
      </c>
      <c r="O6" s="42" t="s">
        <v>21</v>
      </c>
      <c r="P6" s="50" t="s">
        <v>50</v>
      </c>
      <c r="Q6" s="30" t="s">
        <v>32</v>
      </c>
      <c r="R6" s="36" t="s">
        <v>31</v>
      </c>
      <c r="S6" s="3" t="s">
        <v>22</v>
      </c>
    </row>
    <row r="7" spans="1:19" ht="39.75" customHeight="1">
      <c r="A7" s="32" t="s">
        <v>8</v>
      </c>
      <c r="B7" s="6">
        <v>105529.73</v>
      </c>
      <c r="C7" s="6">
        <v>25455.7</v>
      </c>
      <c r="D7" s="6">
        <v>21086.38</v>
      </c>
      <c r="E7" s="6">
        <v>26266.21</v>
      </c>
      <c r="F7" s="6">
        <v>48246.2</v>
      </c>
      <c r="G7" s="6">
        <v>0</v>
      </c>
      <c r="H7" s="6">
        <v>0</v>
      </c>
      <c r="I7" s="6">
        <v>0</v>
      </c>
      <c r="J7" s="7">
        <f>SUM(B7:I7)</f>
        <v>226584.21999999997</v>
      </c>
      <c r="K7" s="9">
        <f>1016.06+9328.65+504+504+2874.96+235.87+7341.94+8408.71+9906.62</f>
        <v>40120.81</v>
      </c>
      <c r="L7" s="9">
        <v>0</v>
      </c>
      <c r="M7" s="9">
        <v>0</v>
      </c>
      <c r="N7" s="9">
        <f>48+648+864+2460.92+9020.4+48.95+440.32+48.96+918.72</f>
        <v>14498.269999999999</v>
      </c>
      <c r="O7" s="9">
        <f>14200+14200+14200+14200+42600</f>
        <v>99400</v>
      </c>
      <c r="P7" s="51">
        <f>1160.1+9294+1375.8+3971.6+764.2+274+214+234+547.85+707.75+391.15+2430.74+274.4+1005.2+735.23+2211.79+389.28+1569.99+741.52+185.38</f>
        <v>28477.980000000007</v>
      </c>
      <c r="Q7" s="31">
        <f>SUM(J7:P7)</f>
        <v>409081.27999999997</v>
      </c>
      <c r="R7" s="37">
        <v>596955.39</v>
      </c>
      <c r="S7" s="10">
        <f>R7-Q7</f>
        <v>187874.11000000004</v>
      </c>
    </row>
    <row r="8" spans="1:19" ht="39.75" customHeight="1">
      <c r="A8" s="32" t="s">
        <v>9</v>
      </c>
      <c r="B8" s="6">
        <v>141333.96</v>
      </c>
      <c r="C8" s="6">
        <v>22924.52</v>
      </c>
      <c r="D8" s="6">
        <v>22681.79</v>
      </c>
      <c r="E8" s="6">
        <v>32062.81</v>
      </c>
      <c r="F8" s="6">
        <v>61404.44</v>
      </c>
      <c r="G8" s="6">
        <v>0</v>
      </c>
      <c r="H8" s="6">
        <v>0</v>
      </c>
      <c r="I8" s="6">
        <v>0</v>
      </c>
      <c r="J8" s="7">
        <f aca="true" t="shared" si="0" ref="J8:J18">SUM(B8:I8)</f>
        <v>280407.52</v>
      </c>
      <c r="K8" s="9">
        <f>10261.71+11467.09+14230.66+13194.89</f>
        <v>49154.35</v>
      </c>
      <c r="L8" s="9">
        <v>0</v>
      </c>
      <c r="M8" s="9">
        <v>0</v>
      </c>
      <c r="N8" s="9">
        <f>408.96+920.85+25+8728.3+481+8026.5+5494.04+51095.88+426</f>
        <v>75606.53</v>
      </c>
      <c r="O8" s="9">
        <f>14200+14400+14200+14400+14200+14200+28400+28400+7200</f>
        <v>149600</v>
      </c>
      <c r="P8" s="51">
        <f>1114.9+846.1+370+365+345+635+1655.84+864.9+713.12+4588.08+4311.81+469.3+1166.65+1704.34+917.5+276.46+179.38+873.16+305.3+409.8+1547.3+5791.7+470.41+2129.41+219</f>
        <v>32269.46</v>
      </c>
      <c r="Q8" s="31">
        <f aca="true" t="shared" si="1" ref="Q8:Q18">SUM(J8:P8)</f>
        <v>587037.86</v>
      </c>
      <c r="R8" s="37">
        <v>593086.01</v>
      </c>
      <c r="S8" s="10">
        <f aca="true" t="shared" si="2" ref="S8:S18">R8-Q8</f>
        <v>6048.150000000023</v>
      </c>
    </row>
    <row r="9" spans="1:19" ht="39.75" customHeight="1">
      <c r="A9" s="32" t="s">
        <v>10</v>
      </c>
      <c r="B9" s="6">
        <v>129248.79</v>
      </c>
      <c r="C9" s="6">
        <v>19998.61</v>
      </c>
      <c r="D9" s="6">
        <v>21543.02</v>
      </c>
      <c r="E9" s="6">
        <v>21538.84</v>
      </c>
      <c r="F9" s="6">
        <v>41638.63</v>
      </c>
      <c r="G9" s="6">
        <v>0</v>
      </c>
      <c r="H9" s="6">
        <v>0</v>
      </c>
      <c r="I9" s="6">
        <v>0</v>
      </c>
      <c r="J9" s="7">
        <f t="shared" si="0"/>
        <v>233967.88999999998</v>
      </c>
      <c r="K9" s="9">
        <f>12028.11+6713.52+10728.96+11484.12+1228.44+1038.35+12171.35+16328.7</f>
        <v>71721.55</v>
      </c>
      <c r="L9" s="9">
        <v>0</v>
      </c>
      <c r="M9" s="9">
        <v>0</v>
      </c>
      <c r="N9" s="9">
        <f>5673+588.95+426+10028.65+16834.62+388.15+438+24+45</f>
        <v>34446.37</v>
      </c>
      <c r="O9" s="9">
        <f>14400+14400+14400</f>
        <v>43200</v>
      </c>
      <c r="P9" s="51">
        <f>1495.5+2671.7+200+380+896.28+225+2300.3+530.56+1011.35+395.5+350.3+918.2+251.9+316.7+205.19+727.7+520+415.2+544.16+1235.17+1456.31+464.46+295.7+1744.5+1580.97+1549.91+793.45+1655.14+373.31+1232.75+1267.76+2269.54+408.5</f>
        <v>30683.010000000006</v>
      </c>
      <c r="Q9" s="31">
        <f t="shared" si="1"/>
        <v>414018.82</v>
      </c>
      <c r="R9" s="37">
        <v>246661.72</v>
      </c>
      <c r="S9" s="10">
        <f t="shared" si="2"/>
        <v>-167357.1</v>
      </c>
    </row>
    <row r="10" spans="1:19" ht="39.75" customHeight="1">
      <c r="A10" s="32" t="s">
        <v>11</v>
      </c>
      <c r="B10" s="6">
        <v>109446.91</v>
      </c>
      <c r="C10" s="6">
        <v>17253.2</v>
      </c>
      <c r="D10" s="6">
        <v>22361.38</v>
      </c>
      <c r="E10" s="6">
        <v>21862.19</v>
      </c>
      <c r="F10" s="6">
        <v>43970.2</v>
      </c>
      <c r="G10" s="6">
        <v>0</v>
      </c>
      <c r="H10" s="6">
        <v>0</v>
      </c>
      <c r="I10" s="6">
        <v>0</v>
      </c>
      <c r="J10" s="7">
        <f t="shared" si="0"/>
        <v>214893.88</v>
      </c>
      <c r="K10" s="9">
        <f>6193.32+15706.2+5532.08+1434.89+12607.65+1786.63+34.75+1217.2+14922.84+715.4</f>
        <v>60150.96</v>
      </c>
      <c r="L10" s="9">
        <v>0</v>
      </c>
      <c r="M10" s="9">
        <v>0</v>
      </c>
      <c r="N10" s="9">
        <f>1290.24+12687.9+102.95+282.6+10000+876</f>
        <v>25239.690000000002</v>
      </c>
      <c r="O10" s="9">
        <f>28800+14400+28800</f>
        <v>72000</v>
      </c>
      <c r="P10" s="51">
        <f>222+332.4+807.29+2514.16+1303.3+1345.9+887.91+755.18+839.6+209.9+510.51+238.11+292+387.3+1300.4+910.5+2134.87+2472.27+544.26</f>
        <v>18007.859999999997</v>
      </c>
      <c r="Q10" s="31">
        <f t="shared" si="1"/>
        <v>390292.39</v>
      </c>
      <c r="R10" s="37">
        <v>315968.6</v>
      </c>
      <c r="S10" s="10">
        <f t="shared" si="2"/>
        <v>-74323.79000000004</v>
      </c>
    </row>
    <row r="11" spans="1:21" ht="39.75" customHeight="1">
      <c r="A11" s="32" t="s">
        <v>12</v>
      </c>
      <c r="B11" s="6">
        <v>102830.84</v>
      </c>
      <c r="C11" s="6">
        <v>17264.12</v>
      </c>
      <c r="D11" s="6">
        <v>20858.82</v>
      </c>
      <c r="E11" s="6">
        <v>22052.56</v>
      </c>
      <c r="F11" s="6">
        <v>37450.44</v>
      </c>
      <c r="G11" s="6">
        <v>0</v>
      </c>
      <c r="H11" s="6">
        <v>0</v>
      </c>
      <c r="I11" s="6">
        <v>0</v>
      </c>
      <c r="J11" s="7">
        <f t="shared" si="0"/>
        <v>200456.78</v>
      </c>
      <c r="K11" s="9">
        <f>10840.7+2817.52+581.15+5841.75+34.75+581.15+16624.8+306.6+6512.18+206.44+34.75+16054.6+10804.65-581.15</f>
        <v>70659.89000000001</v>
      </c>
      <c r="L11" s="9">
        <v>0</v>
      </c>
      <c r="M11" s="9">
        <f>4247.22+561.48</f>
        <v>4808.700000000001</v>
      </c>
      <c r="N11" s="9">
        <f>2518.73+10194.4+274611.64+27397.77+2933+25+22+1191.36+68788</f>
        <v>387681.9</v>
      </c>
      <c r="O11" s="9">
        <f>14400+14400+57600</f>
        <v>86400</v>
      </c>
      <c r="P11" s="51">
        <f>542+255.55+279.5+568.88+501.68+930.79+406.6+3093.5+200.4+465.5+463.5+1058.05+349+3671.76+4706.21+5210.46+3939.01+4384.43+819.92+660.32+1392+1190.02+408.77+756.62+189.16+287.2+2266.06+1666.55</f>
        <v>40663.439999999995</v>
      </c>
      <c r="Q11" s="31">
        <f t="shared" si="1"/>
        <v>790670.71</v>
      </c>
      <c r="R11" s="37">
        <v>282099.85</v>
      </c>
      <c r="S11" s="10">
        <f t="shared" si="2"/>
        <v>-508570.86</v>
      </c>
      <c r="U11" s="19"/>
    </row>
    <row r="12" spans="1:19" ht="39.75" customHeight="1">
      <c r="A12" s="32" t="s">
        <v>13</v>
      </c>
      <c r="B12" s="6">
        <v>114583.78</v>
      </c>
      <c r="C12" s="6">
        <v>19678.2</v>
      </c>
      <c r="D12" s="6">
        <v>20780.74</v>
      </c>
      <c r="E12" s="6">
        <v>20262.27</v>
      </c>
      <c r="F12" s="6">
        <v>38279.34</v>
      </c>
      <c r="G12" s="6">
        <v>0</v>
      </c>
      <c r="H12" s="6">
        <v>0</v>
      </c>
      <c r="I12" s="6">
        <v>0</v>
      </c>
      <c r="J12" s="7">
        <f t="shared" si="0"/>
        <v>213584.33</v>
      </c>
      <c r="K12" s="9">
        <f>16665.4+7145.82+5333.82+682.7+34.75+18304.5+1393.73+4840.2+1037.85+48.02+24807.4+688.83</f>
        <v>80983.02</v>
      </c>
      <c r="L12" s="9">
        <v>0</v>
      </c>
      <c r="M12" s="9">
        <v>0</v>
      </c>
      <c r="N12" s="9">
        <f>560.32+14519.08+3383.8+343+839.6+2366.5+502</f>
        <v>22514.3</v>
      </c>
      <c r="O12" s="9">
        <f>28800+14400+14400</f>
        <v>57600</v>
      </c>
      <c r="P12" s="51">
        <f>373.8+333+1325.08+3247.9+1086+553.8+188+940.53+1310.7+241.9+405.8+380.77+722.6+542.57+690.1+316.26+264.8+2200.25+1245.12+822.22+205.55</f>
        <v>17396.75</v>
      </c>
      <c r="Q12" s="31">
        <f t="shared" si="1"/>
        <v>392078.39999999997</v>
      </c>
      <c r="R12" s="37">
        <v>337909.51</v>
      </c>
      <c r="S12" s="10">
        <f t="shared" si="2"/>
        <v>-54168.889999999956</v>
      </c>
    </row>
    <row r="13" spans="1:19" ht="39.75" customHeight="1">
      <c r="A13" s="32" t="s">
        <v>14</v>
      </c>
      <c r="B13" s="6">
        <v>116355.38</v>
      </c>
      <c r="C13" s="6">
        <v>18339.04</v>
      </c>
      <c r="D13" s="6">
        <v>17476.13</v>
      </c>
      <c r="E13" s="6">
        <v>19916.9</v>
      </c>
      <c r="F13" s="6">
        <v>44572.56</v>
      </c>
      <c r="G13" s="6">
        <v>0</v>
      </c>
      <c r="H13" s="6">
        <v>0</v>
      </c>
      <c r="I13" s="6">
        <v>0</v>
      </c>
      <c r="J13" s="7">
        <f t="shared" si="0"/>
        <v>216660.01</v>
      </c>
      <c r="K13" s="9">
        <f>12849.3+7057.93+204.4+8801.74+12815+67.45+1095.58</f>
        <v>42891.4</v>
      </c>
      <c r="L13" s="9">
        <v>0</v>
      </c>
      <c r="M13" s="9">
        <v>0</v>
      </c>
      <c r="N13" s="9">
        <f>5329.45+438+4074.77+8201.52+764.5+319+4288.25+27397.77+99.44+25+432</f>
        <v>51369.7</v>
      </c>
      <c r="O13" s="9">
        <f>14400+14400+14400+14400</f>
        <v>57600</v>
      </c>
      <c r="P13" s="51">
        <f>285.8+8027.4+419.9+438.6+531.96+2853+1372.73+835.75+1111.75+1156.5+401+263.27+379.93+1270.82+274.1+204.61+818.45+660.9+1059.5+613.44+223.5+1331.68+472+1004.3+1822.55+1690.09</f>
        <v>29523.53</v>
      </c>
      <c r="Q13" s="31">
        <f t="shared" si="1"/>
        <v>398044.64</v>
      </c>
      <c r="R13" s="37">
        <v>233052.03</v>
      </c>
      <c r="S13" s="10">
        <f t="shared" si="2"/>
        <v>-164992.61000000002</v>
      </c>
    </row>
    <row r="14" spans="1:19" ht="39.75" customHeight="1">
      <c r="A14" s="32" t="s">
        <v>1</v>
      </c>
      <c r="B14" s="6">
        <v>114583.78</v>
      </c>
      <c r="C14" s="6">
        <v>23696.7</v>
      </c>
      <c r="D14" s="6">
        <v>21103.13</v>
      </c>
      <c r="E14" s="6">
        <v>34033.82</v>
      </c>
      <c r="F14" s="6">
        <v>74398.96</v>
      </c>
      <c r="G14" s="6">
        <v>0</v>
      </c>
      <c r="H14" s="6">
        <v>0</v>
      </c>
      <c r="I14" s="6">
        <v>0</v>
      </c>
      <c r="J14" s="7">
        <f t="shared" si="0"/>
        <v>267816.39</v>
      </c>
      <c r="K14" s="9">
        <f>394.8+6170.74+2250.45+306.6+67.45+16113+10184.5+5232.89+381.7+1231.67+7317.52+4652.14+647.95+511+13285.05+10579.55</f>
        <v>79327.01</v>
      </c>
      <c r="L14" s="9">
        <v>0</v>
      </c>
      <c r="M14" s="9">
        <v>0</v>
      </c>
      <c r="N14" s="9">
        <f>49.6+74.5+10085.17+48.96+198.4+74.5+7313.75+48.96+74.5+74.6+74.5+49.6+1198</f>
        <v>19365.039999999994</v>
      </c>
      <c r="O14" s="9">
        <f>6900+13200+7100+14400+14400+14400</f>
        <v>70400</v>
      </c>
      <c r="P14" s="51">
        <f>1547.1+623.12+191.15+401.6+3415.3+973.35+228.7+809.59+1051.97+1520.75+389.2+1321+577.69+316.2+837+1682.2+784.43+221.12+884.5+1238.4+993.95+470+2289.98</f>
        <v>22768.300000000003</v>
      </c>
      <c r="Q14" s="31">
        <f t="shared" si="1"/>
        <v>459676.74</v>
      </c>
      <c r="R14" s="37">
        <v>675494.81</v>
      </c>
      <c r="S14" s="10">
        <f t="shared" si="2"/>
        <v>215818.07000000007</v>
      </c>
    </row>
    <row r="15" spans="1:19" ht="39.75" customHeight="1">
      <c r="A15" s="32" t="s">
        <v>2</v>
      </c>
      <c r="B15" s="6">
        <v>130098.65</v>
      </c>
      <c r="C15" s="6">
        <v>22675.66</v>
      </c>
      <c r="D15" s="6">
        <v>19701.08</v>
      </c>
      <c r="E15" s="6">
        <v>28508.61</v>
      </c>
      <c r="F15" s="6">
        <v>50697.53</v>
      </c>
      <c r="G15" s="6">
        <v>0</v>
      </c>
      <c r="H15" s="6">
        <v>0</v>
      </c>
      <c r="I15" s="6">
        <v>0</v>
      </c>
      <c r="J15" s="7">
        <f t="shared" si="0"/>
        <v>251681.53</v>
      </c>
      <c r="K15" s="9">
        <v>32722.15</v>
      </c>
      <c r="L15" s="9">
        <v>35</v>
      </c>
      <c r="M15" s="9">
        <v>0</v>
      </c>
      <c r="N15" s="9">
        <v>44240.85</v>
      </c>
      <c r="O15" s="9">
        <v>169799.99</v>
      </c>
      <c r="P15" s="51">
        <v>35168.84</v>
      </c>
      <c r="Q15" s="31">
        <f t="shared" si="1"/>
        <v>533648.36</v>
      </c>
      <c r="R15" s="37">
        <v>0</v>
      </c>
      <c r="S15" s="10">
        <f t="shared" si="2"/>
        <v>-533648.36</v>
      </c>
    </row>
    <row r="16" spans="1:19" ht="39.75" customHeight="1">
      <c r="A16" s="32" t="s">
        <v>3</v>
      </c>
      <c r="B16" s="6">
        <f>34113.39+112813.17</f>
        <v>146926.56</v>
      </c>
      <c r="C16" s="6">
        <v>18999.16</v>
      </c>
      <c r="D16" s="6">
        <v>15127.62</v>
      </c>
      <c r="E16" s="6">
        <v>22486.92</v>
      </c>
      <c r="F16" s="6">
        <v>47131.91</v>
      </c>
      <c r="G16" s="6">
        <v>0</v>
      </c>
      <c r="H16" s="6">
        <v>0</v>
      </c>
      <c r="I16" s="6">
        <v>0</v>
      </c>
      <c r="J16" s="7">
        <f t="shared" si="0"/>
        <v>250672.17</v>
      </c>
      <c r="K16" s="9">
        <v>62015.46000000001</v>
      </c>
      <c r="L16" s="9">
        <v>0</v>
      </c>
      <c r="M16" s="9">
        <v>0</v>
      </c>
      <c r="N16" s="9">
        <v>31333.219999999994</v>
      </c>
      <c r="O16" s="9">
        <v>85500</v>
      </c>
      <c r="P16" s="51">
        <v>24554.850000000006</v>
      </c>
      <c r="Q16" s="31">
        <f t="shared" si="1"/>
        <v>454075.69999999995</v>
      </c>
      <c r="R16" s="37">
        <v>0</v>
      </c>
      <c r="S16" s="10">
        <f t="shared" si="2"/>
        <v>-454075.69999999995</v>
      </c>
    </row>
    <row r="17" spans="1:19" ht="39.75" customHeight="1">
      <c r="A17" s="32" t="s">
        <v>4</v>
      </c>
      <c r="B17" s="6">
        <v>117228.81</v>
      </c>
      <c r="C17" s="6">
        <v>21854.83</v>
      </c>
      <c r="D17" s="6">
        <v>18575.56</v>
      </c>
      <c r="E17" s="6">
        <v>25772.2</v>
      </c>
      <c r="F17" s="6">
        <v>45222.59</v>
      </c>
      <c r="G17" s="6">
        <v>0</v>
      </c>
      <c r="H17" s="6">
        <v>0</v>
      </c>
      <c r="I17" s="6">
        <v>0</v>
      </c>
      <c r="J17" s="7">
        <f t="shared" si="0"/>
        <v>228653.99000000002</v>
      </c>
      <c r="K17" s="9">
        <v>51715.03</v>
      </c>
      <c r="L17" s="9">
        <v>23.8</v>
      </c>
      <c r="M17" s="9">
        <v>0</v>
      </c>
      <c r="N17" s="9">
        <v>97873.88000000005</v>
      </c>
      <c r="O17" s="9">
        <v>115200</v>
      </c>
      <c r="P17" s="51">
        <v>22663.273999999998</v>
      </c>
      <c r="Q17" s="31">
        <f t="shared" si="1"/>
        <v>516129.97400000005</v>
      </c>
      <c r="R17" s="37">
        <v>0</v>
      </c>
      <c r="S17" s="10">
        <f t="shared" si="2"/>
        <v>-516129.97400000005</v>
      </c>
    </row>
    <row r="18" spans="1:19" ht="39.75" customHeight="1">
      <c r="A18" s="32" t="s">
        <v>5</v>
      </c>
      <c r="B18" s="6">
        <v>117671.57</v>
      </c>
      <c r="C18" s="6">
        <v>34894.23</v>
      </c>
      <c r="D18" s="6">
        <v>16013.92</v>
      </c>
      <c r="E18" s="6">
        <v>25141.41</v>
      </c>
      <c r="F18" s="6">
        <v>53242.4</v>
      </c>
      <c r="G18" s="6">
        <v>0</v>
      </c>
      <c r="H18" s="6">
        <v>0</v>
      </c>
      <c r="I18" s="6">
        <v>0</v>
      </c>
      <c r="J18" s="7">
        <f t="shared" si="0"/>
        <v>246963.53000000003</v>
      </c>
      <c r="K18" s="9">
        <v>39918.94</v>
      </c>
      <c r="L18" s="9">
        <v>12.6</v>
      </c>
      <c r="M18" s="9">
        <v>0</v>
      </c>
      <c r="N18" s="9">
        <v>42177.759999999995</v>
      </c>
      <c r="O18" s="9">
        <v>265800</v>
      </c>
      <c r="P18" s="51">
        <v>34251.25</v>
      </c>
      <c r="Q18" s="31">
        <f t="shared" si="1"/>
        <v>629124.0800000001</v>
      </c>
      <c r="R18" s="37">
        <v>0</v>
      </c>
      <c r="S18" s="10">
        <f t="shared" si="2"/>
        <v>-629124.0800000001</v>
      </c>
    </row>
    <row r="19" spans="1:19" ht="39.75" customHeight="1" thickBot="1">
      <c r="A19" s="49" t="s">
        <v>16</v>
      </c>
      <c r="B19" s="43">
        <f aca="true" t="shared" si="3" ref="B19:I19">SUM(B7:B18)</f>
        <v>1445838.7600000002</v>
      </c>
      <c r="C19" s="43">
        <f t="shared" si="3"/>
        <v>263033.97</v>
      </c>
      <c r="D19" s="43">
        <f t="shared" si="3"/>
        <v>237309.57000000004</v>
      </c>
      <c r="E19" s="43">
        <f t="shared" si="3"/>
        <v>299904.74</v>
      </c>
      <c r="F19" s="43">
        <f t="shared" si="3"/>
        <v>586255.2000000001</v>
      </c>
      <c r="G19" s="43">
        <f>SUM(G7:G18)</f>
        <v>0</v>
      </c>
      <c r="H19" s="43">
        <f>SUM(H7:H18)</f>
        <v>0</v>
      </c>
      <c r="I19" s="43">
        <f t="shared" si="3"/>
        <v>0</v>
      </c>
      <c r="J19" s="8">
        <f aca="true" t="shared" si="4" ref="J19:S19">SUM(J7:J18)</f>
        <v>2832342.24</v>
      </c>
      <c r="K19" s="33">
        <f>SUM(K7:K18)</f>
        <v>681380.5700000001</v>
      </c>
      <c r="L19" s="33">
        <f>SUM(L7:L18)</f>
        <v>71.39999999999999</v>
      </c>
      <c r="M19" s="33">
        <f t="shared" si="4"/>
        <v>4808.700000000001</v>
      </c>
      <c r="N19" s="33">
        <f t="shared" si="4"/>
        <v>846347.51</v>
      </c>
      <c r="O19" s="34">
        <f t="shared" si="4"/>
        <v>1272499.99</v>
      </c>
      <c r="P19" s="34">
        <f t="shared" si="4"/>
        <v>336428.544</v>
      </c>
      <c r="Q19" s="35">
        <f t="shared" si="4"/>
        <v>5973878.954000001</v>
      </c>
      <c r="R19" s="38">
        <f t="shared" si="4"/>
        <v>3281227.92</v>
      </c>
      <c r="S19" s="4">
        <f t="shared" si="4"/>
        <v>-2692651.034</v>
      </c>
    </row>
    <row r="20" spans="1:14" ht="39.75" customHeight="1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9" ht="18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4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sheetProtection/>
  <mergeCells count="5">
    <mergeCell ref="A5:B5"/>
    <mergeCell ref="A1:Q1"/>
    <mergeCell ref="A2:Q2"/>
    <mergeCell ref="A4:Q4"/>
    <mergeCell ref="A3:Q3"/>
  </mergeCells>
  <printOptions horizontalCentered="1" verticalCentered="1"/>
  <pageMargins left="0.2" right="0.1968503937007874" top="0.5511811023622047" bottom="0.7086614173228347" header="0" footer="0.4724409448818898"/>
  <pageSetup horizontalDpi="300" verticalDpi="300" orientation="landscape" paperSize="9" scale="71" r:id="rId3"/>
  <headerFooter alignWithMargins="0">
    <oddFooter>&amp;L&amp;12Fuente: Fondo de Compensación del SOAT y del CAT&amp;R&amp;12&amp;P/&amp;N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M20" sqref="M20"/>
    </sheetView>
  </sheetViews>
  <sheetFormatPr defaultColWidth="11.421875" defaultRowHeight="12.75"/>
  <cols>
    <col min="2" max="13" width="13.421875" style="0" customWidth="1"/>
  </cols>
  <sheetData>
    <row r="2" spans="1:13" ht="18.75" thickBot="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thickBot="1">
      <c r="A3" s="82" t="s">
        <v>35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18.75" thickBot="1">
      <c r="A4" s="82" t="str">
        <f>Hoja1!A3</f>
        <v>AL 31 DE DICIEMBRE DE 2012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12.75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7" ht="13.5" thickBot="1"/>
    <row r="8" spans="1:13" ht="38.25">
      <c r="A8" s="44" t="s">
        <v>17</v>
      </c>
      <c r="B8" s="92" t="s">
        <v>23</v>
      </c>
      <c r="C8" s="93"/>
      <c r="D8" s="92" t="s">
        <v>24</v>
      </c>
      <c r="E8" s="93"/>
      <c r="F8" s="87" t="s">
        <v>6</v>
      </c>
      <c r="G8" s="88"/>
      <c r="H8" s="92" t="s">
        <v>25</v>
      </c>
      <c r="I8" s="93"/>
      <c r="J8" s="87" t="s">
        <v>26</v>
      </c>
      <c r="K8" s="88"/>
      <c r="L8" s="89" t="s">
        <v>27</v>
      </c>
      <c r="M8" s="90"/>
    </row>
    <row r="9" spans="1:13" ht="12.75">
      <c r="A9" s="45"/>
      <c r="B9" s="21" t="s">
        <v>28</v>
      </c>
      <c r="C9" s="22" t="s">
        <v>29</v>
      </c>
      <c r="D9" s="21" t="s">
        <v>28</v>
      </c>
      <c r="E9" s="22" t="s">
        <v>29</v>
      </c>
      <c r="F9" s="21" t="s">
        <v>28</v>
      </c>
      <c r="G9" s="22" t="s">
        <v>29</v>
      </c>
      <c r="H9" s="21" t="s">
        <v>28</v>
      </c>
      <c r="I9" s="22" t="s">
        <v>29</v>
      </c>
      <c r="J9" s="21" t="s">
        <v>28</v>
      </c>
      <c r="K9" s="22" t="s">
        <v>29</v>
      </c>
      <c r="L9" s="21" t="s">
        <v>28</v>
      </c>
      <c r="M9" s="22" t="s">
        <v>29</v>
      </c>
    </row>
    <row r="10" spans="1:13" ht="12.75">
      <c r="A10" s="46" t="s">
        <v>8</v>
      </c>
      <c r="B10" s="23">
        <v>14133396</v>
      </c>
      <c r="C10" s="6">
        <v>141333.96</v>
      </c>
      <c r="D10" s="23">
        <v>2292452</v>
      </c>
      <c r="E10" s="6">
        <v>22924.52</v>
      </c>
      <c r="F10" s="23">
        <v>2268179</v>
      </c>
      <c r="G10" s="6">
        <v>22681.79</v>
      </c>
      <c r="H10" s="23">
        <v>3206281</v>
      </c>
      <c r="I10" s="6">
        <v>32062.81</v>
      </c>
      <c r="J10" s="23">
        <v>6140444</v>
      </c>
      <c r="K10" s="6">
        <v>61404.44</v>
      </c>
      <c r="L10" s="23">
        <f aca="true" t="shared" si="0" ref="L10:M12">B10+D10+F10+H10+J10</f>
        <v>28040752</v>
      </c>
      <c r="M10" s="24">
        <f t="shared" si="0"/>
        <v>280407.52</v>
      </c>
    </row>
    <row r="11" spans="1:13" ht="12.75">
      <c r="A11" s="46" t="s">
        <v>9</v>
      </c>
      <c r="B11" s="23">
        <v>12924879</v>
      </c>
      <c r="C11" s="6">
        <v>129248.79</v>
      </c>
      <c r="D11" s="23">
        <v>1999861</v>
      </c>
      <c r="E11" s="6">
        <v>19998.61</v>
      </c>
      <c r="F11" s="23">
        <v>2154302</v>
      </c>
      <c r="G11" s="6">
        <v>21543.02</v>
      </c>
      <c r="H11" s="23">
        <v>2153884</v>
      </c>
      <c r="I11" s="6">
        <v>21538.84</v>
      </c>
      <c r="J11" s="23">
        <v>4163863</v>
      </c>
      <c r="K11" s="6">
        <v>41638.63</v>
      </c>
      <c r="L11" s="23">
        <f t="shared" si="0"/>
        <v>23396789</v>
      </c>
      <c r="M11" s="24">
        <f t="shared" si="0"/>
        <v>233967.88999999998</v>
      </c>
    </row>
    <row r="12" spans="1:13" ht="12.75">
      <c r="A12" s="46" t="s">
        <v>10</v>
      </c>
      <c r="B12" s="23">
        <v>10944691</v>
      </c>
      <c r="C12" s="6">
        <v>109446.91</v>
      </c>
      <c r="D12" s="23">
        <v>1725320</v>
      </c>
      <c r="E12" s="6">
        <v>17253.2</v>
      </c>
      <c r="F12" s="23">
        <v>2236138</v>
      </c>
      <c r="G12" s="6">
        <v>22361.38</v>
      </c>
      <c r="H12" s="23">
        <v>2186219</v>
      </c>
      <c r="I12" s="6">
        <v>21862.19</v>
      </c>
      <c r="J12" s="23">
        <v>4397020</v>
      </c>
      <c r="K12" s="6">
        <v>43970.2</v>
      </c>
      <c r="L12" s="23">
        <f t="shared" si="0"/>
        <v>21489388</v>
      </c>
      <c r="M12" s="24">
        <f t="shared" si="0"/>
        <v>214893.88</v>
      </c>
    </row>
    <row r="13" spans="1:13" ht="12.75">
      <c r="A13" s="46" t="s">
        <v>11</v>
      </c>
      <c r="B13" s="23">
        <v>10283084</v>
      </c>
      <c r="C13" s="6">
        <v>102830.84</v>
      </c>
      <c r="D13" s="23">
        <v>1726412</v>
      </c>
      <c r="E13" s="6">
        <v>17264.12</v>
      </c>
      <c r="F13" s="23">
        <v>2085882</v>
      </c>
      <c r="G13" s="6">
        <v>20858.82</v>
      </c>
      <c r="H13" s="23">
        <v>2205256</v>
      </c>
      <c r="I13" s="6">
        <v>22052.56</v>
      </c>
      <c r="J13" s="23">
        <v>3745044</v>
      </c>
      <c r="K13" s="6">
        <v>37450.44</v>
      </c>
      <c r="L13" s="23">
        <f aca="true" t="shared" si="1" ref="L13:M20">B13+D13+F13+H13+J13</f>
        <v>20045678</v>
      </c>
      <c r="M13" s="24">
        <f t="shared" si="1"/>
        <v>200456.78</v>
      </c>
    </row>
    <row r="14" spans="1:13" ht="12.75">
      <c r="A14" s="46" t="s">
        <v>12</v>
      </c>
      <c r="B14" s="23">
        <v>11458378</v>
      </c>
      <c r="C14" s="6">
        <v>114583.78</v>
      </c>
      <c r="D14" s="23">
        <v>1967820</v>
      </c>
      <c r="E14" s="6">
        <v>19678.2</v>
      </c>
      <c r="F14" s="23">
        <v>2078074</v>
      </c>
      <c r="G14" s="6">
        <v>20780.74</v>
      </c>
      <c r="H14" s="23">
        <v>2026227</v>
      </c>
      <c r="I14" s="6">
        <v>20262.27</v>
      </c>
      <c r="J14" s="23">
        <v>3827934</v>
      </c>
      <c r="K14" s="6">
        <v>38279.34</v>
      </c>
      <c r="L14" s="23">
        <f t="shared" si="1"/>
        <v>21358433</v>
      </c>
      <c r="M14" s="24">
        <f t="shared" si="1"/>
        <v>213584.33</v>
      </c>
    </row>
    <row r="15" spans="1:13" ht="12.75">
      <c r="A15" s="46" t="s">
        <v>13</v>
      </c>
      <c r="B15" s="23">
        <v>11635538</v>
      </c>
      <c r="C15" s="6">
        <v>116355.38</v>
      </c>
      <c r="D15" s="23">
        <v>1833904</v>
      </c>
      <c r="E15" s="6">
        <v>18339.04</v>
      </c>
      <c r="F15" s="23">
        <v>1747613</v>
      </c>
      <c r="G15" s="6">
        <v>17476.13</v>
      </c>
      <c r="H15" s="23">
        <v>1991690</v>
      </c>
      <c r="I15" s="6">
        <v>19916.9</v>
      </c>
      <c r="J15" s="23">
        <v>4457256</v>
      </c>
      <c r="K15" s="6">
        <v>44572.56</v>
      </c>
      <c r="L15" s="23">
        <f t="shared" si="1"/>
        <v>21666001</v>
      </c>
      <c r="M15" s="24">
        <f t="shared" si="1"/>
        <v>216660.01</v>
      </c>
    </row>
    <row r="16" spans="1:13" ht="12.75">
      <c r="A16" s="46" t="s">
        <v>14</v>
      </c>
      <c r="B16" s="23">
        <v>14869717</v>
      </c>
      <c r="C16" s="6">
        <f>114583.78+34113.39</f>
        <v>148697.16999999998</v>
      </c>
      <c r="D16" s="23">
        <v>2369670</v>
      </c>
      <c r="E16" s="6">
        <v>23696.7</v>
      </c>
      <c r="F16" s="23">
        <v>2110313</v>
      </c>
      <c r="G16" s="6">
        <v>21103.13</v>
      </c>
      <c r="H16" s="23">
        <v>3403382</v>
      </c>
      <c r="I16" s="6">
        <v>34033.82</v>
      </c>
      <c r="J16" s="23">
        <v>7439896</v>
      </c>
      <c r="K16" s="6">
        <v>74398.96</v>
      </c>
      <c r="L16" s="23">
        <f t="shared" si="1"/>
        <v>30192978</v>
      </c>
      <c r="M16" s="24">
        <f t="shared" si="1"/>
        <v>301929.78</v>
      </c>
    </row>
    <row r="17" spans="1:13" ht="12.75">
      <c r="A17" s="46" t="s">
        <v>1</v>
      </c>
      <c r="B17" s="23">
        <v>13009865</v>
      </c>
      <c r="C17" s="6">
        <v>130098.65</v>
      </c>
      <c r="D17" s="23">
        <v>2267566</v>
      </c>
      <c r="E17" s="6">
        <v>22675.66</v>
      </c>
      <c r="F17" s="23">
        <v>1970108</v>
      </c>
      <c r="G17" s="6">
        <v>19701.08</v>
      </c>
      <c r="H17" s="23">
        <v>2850861</v>
      </c>
      <c r="I17" s="6">
        <v>28508.61</v>
      </c>
      <c r="J17" s="23">
        <v>5069753</v>
      </c>
      <c r="K17" s="6">
        <v>50697.53</v>
      </c>
      <c r="L17" s="23">
        <f t="shared" si="1"/>
        <v>25168153</v>
      </c>
      <c r="M17" s="24">
        <f t="shared" si="1"/>
        <v>251681.53</v>
      </c>
    </row>
    <row r="18" spans="1:13" ht="12.75">
      <c r="A18" s="46" t="s">
        <v>2</v>
      </c>
      <c r="B18" s="23">
        <v>11281317</v>
      </c>
      <c r="C18" s="6">
        <v>112813.17</v>
      </c>
      <c r="D18" s="23">
        <v>1899916</v>
      </c>
      <c r="E18" s="6">
        <v>18999.16</v>
      </c>
      <c r="F18" s="23">
        <v>1512762</v>
      </c>
      <c r="G18" s="6">
        <v>15127.62</v>
      </c>
      <c r="H18" s="23">
        <v>2248692</v>
      </c>
      <c r="I18" s="6">
        <v>22486.92</v>
      </c>
      <c r="J18" s="23">
        <v>4713191</v>
      </c>
      <c r="K18" s="6">
        <v>47131.91</v>
      </c>
      <c r="L18" s="23">
        <f t="shared" si="1"/>
        <v>21655878</v>
      </c>
      <c r="M18" s="24">
        <f t="shared" si="1"/>
        <v>216558.78</v>
      </c>
    </row>
    <row r="19" spans="1:13" ht="12.75">
      <c r="A19" s="46" t="s">
        <v>3</v>
      </c>
      <c r="B19" s="23">
        <v>11722881</v>
      </c>
      <c r="C19" s="6">
        <v>117228.81</v>
      </c>
      <c r="D19" s="23">
        <v>2185483</v>
      </c>
      <c r="E19" s="6">
        <v>21854.83</v>
      </c>
      <c r="F19" s="23">
        <v>1857556</v>
      </c>
      <c r="G19" s="6">
        <v>18575.56</v>
      </c>
      <c r="H19" s="23">
        <v>2577220</v>
      </c>
      <c r="I19" s="6">
        <v>25772.2</v>
      </c>
      <c r="J19" s="23">
        <v>4522259</v>
      </c>
      <c r="K19" s="6">
        <v>45222.59</v>
      </c>
      <c r="L19" s="23">
        <f t="shared" si="1"/>
        <v>22865399</v>
      </c>
      <c r="M19" s="24">
        <f t="shared" si="1"/>
        <v>228653.99000000002</v>
      </c>
    </row>
    <row r="20" spans="1:13" ht="24">
      <c r="A20" s="46" t="s">
        <v>4</v>
      </c>
      <c r="B20" s="23">
        <v>11767157</v>
      </c>
      <c r="C20" s="6">
        <v>117671.57</v>
      </c>
      <c r="D20" s="23">
        <v>3489423</v>
      </c>
      <c r="E20" s="6">
        <v>34894.23</v>
      </c>
      <c r="F20" s="23">
        <v>1601392</v>
      </c>
      <c r="G20" s="6">
        <v>16013.92</v>
      </c>
      <c r="H20" s="23">
        <v>2514141</v>
      </c>
      <c r="I20" s="6">
        <v>25141.41</v>
      </c>
      <c r="J20" s="23">
        <v>5324240</v>
      </c>
      <c r="K20" s="6">
        <v>53242.4</v>
      </c>
      <c r="L20" s="23">
        <f t="shared" si="1"/>
        <v>24696353</v>
      </c>
      <c r="M20" s="24">
        <f t="shared" si="1"/>
        <v>246963.53000000003</v>
      </c>
    </row>
    <row r="21" spans="1:13" ht="12.75">
      <c r="A21" s="46" t="s">
        <v>5</v>
      </c>
      <c r="B21" s="23"/>
      <c r="C21" s="6"/>
      <c r="D21" s="23"/>
      <c r="E21" s="6"/>
      <c r="F21" s="23"/>
      <c r="G21" s="6"/>
      <c r="H21" s="23"/>
      <c r="I21" s="6"/>
      <c r="J21" s="23"/>
      <c r="K21" s="6"/>
      <c r="L21" s="23"/>
      <c r="M21" s="24"/>
    </row>
    <row r="22" spans="1:13" ht="13.5" thickBot="1">
      <c r="A22" s="47" t="s">
        <v>30</v>
      </c>
      <c r="B22" s="25">
        <f aca="true" t="shared" si="2" ref="B22:M22">SUM(B10:B21)</f>
        <v>134030903</v>
      </c>
      <c r="C22" s="26">
        <f t="shared" si="2"/>
        <v>1340309.0300000003</v>
      </c>
      <c r="D22" s="25">
        <f t="shared" si="2"/>
        <v>23757827</v>
      </c>
      <c r="E22" s="26">
        <f t="shared" si="2"/>
        <v>237578.27000000005</v>
      </c>
      <c r="F22" s="25">
        <f t="shared" si="2"/>
        <v>21622319</v>
      </c>
      <c r="G22" s="27">
        <f t="shared" si="2"/>
        <v>216223.19000000003</v>
      </c>
      <c r="H22" s="25">
        <f t="shared" si="2"/>
        <v>27363853</v>
      </c>
      <c r="I22" s="27">
        <f t="shared" si="2"/>
        <v>273638.52999999997</v>
      </c>
      <c r="J22" s="25">
        <f t="shared" si="2"/>
        <v>53800900</v>
      </c>
      <c r="K22" s="27">
        <f t="shared" si="2"/>
        <v>538009</v>
      </c>
      <c r="L22" s="25">
        <f t="shared" si="2"/>
        <v>260575802</v>
      </c>
      <c r="M22" s="27">
        <f t="shared" si="2"/>
        <v>2605758.0200000005</v>
      </c>
    </row>
    <row r="26" spans="1:13" ht="12.75">
      <c r="A26" s="91" t="s">
        <v>40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ht="12.75">
      <c r="A28" s="17"/>
    </row>
  </sheetData>
  <sheetProtection/>
  <mergeCells count="11">
    <mergeCell ref="A26:M26"/>
    <mergeCell ref="B8:C8"/>
    <mergeCell ref="D8:E8"/>
    <mergeCell ref="F8:G8"/>
    <mergeCell ref="H8:I8"/>
    <mergeCell ref="A5:M5"/>
    <mergeCell ref="A2:M2"/>
    <mergeCell ref="A3:M3"/>
    <mergeCell ref="A4:M4"/>
    <mergeCell ref="J8:K8"/>
    <mergeCell ref="L8:M8"/>
  </mergeCells>
  <printOptions horizontalCentered="1"/>
  <pageMargins left="0.1968503937007874" right="0.2362204724409449" top="0.984251968503937" bottom="0.984251968503937" header="0" footer="0.39"/>
  <pageSetup horizontalDpi="600" verticalDpi="600" orientation="landscape" paperSize="9" scale="80" r:id="rId3"/>
  <headerFooter alignWithMargins="0">
    <oddFooter>&amp;L&amp;12Fuente: Fondo de Compensación del SOAT y del CAT&amp;R&amp;12&amp;P/&amp;N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9"/>
  <sheetViews>
    <sheetView zoomScalePageLayoutView="0" workbookViewId="0" topLeftCell="A1">
      <selection activeCell="J40" sqref="J40"/>
    </sheetView>
  </sheetViews>
  <sheetFormatPr defaultColWidth="11.421875" defaultRowHeight="12.75"/>
  <cols>
    <col min="1" max="1" width="13.57421875" style="0" customWidth="1"/>
    <col min="2" max="2" width="12.57421875" style="0" bestFit="1" customWidth="1"/>
    <col min="3" max="3" width="11.7109375" style="0" bestFit="1" customWidth="1"/>
    <col min="4" max="4" width="12.7109375" style="0" bestFit="1" customWidth="1"/>
    <col min="5" max="5" width="11.7109375" style="0" bestFit="1" customWidth="1"/>
    <col min="6" max="6" width="14.8515625" style="0" customWidth="1"/>
    <col min="7" max="7" width="13.28125" style="0" customWidth="1"/>
    <col min="8" max="8" width="11.8515625" style="0" bestFit="1" customWidth="1"/>
    <col min="9" max="13" width="11.7109375" style="0" bestFit="1" customWidth="1"/>
  </cols>
  <sheetData>
    <row r="2" spans="1:13" ht="18.75" thickBot="1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thickBot="1">
      <c r="A3" s="82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3" ht="18.75" thickBot="1">
      <c r="A4" s="82" t="str">
        <f>Hoja1!A3</f>
        <v>AL 31 DE DICIEMBRE DE 2012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ht="13.5" thickBot="1"/>
    <row r="6" spans="1:13" ht="26.25" thickBot="1">
      <c r="A6" s="20" t="s">
        <v>17</v>
      </c>
      <c r="B6" s="94" t="s">
        <v>23</v>
      </c>
      <c r="C6" s="95"/>
      <c r="D6" s="94" t="s">
        <v>49</v>
      </c>
      <c r="E6" s="95"/>
      <c r="F6" s="94" t="s">
        <v>24</v>
      </c>
      <c r="G6" s="95"/>
      <c r="H6" s="96" t="s">
        <v>6</v>
      </c>
      <c r="I6" s="97"/>
      <c r="J6" s="94" t="s">
        <v>25</v>
      </c>
      <c r="K6" s="95"/>
      <c r="L6" s="98" t="s">
        <v>26</v>
      </c>
      <c r="M6" s="97"/>
    </row>
    <row r="7" spans="1:13" ht="13.5" thickBot="1">
      <c r="A7" s="63"/>
      <c r="B7" s="56" t="s">
        <v>36</v>
      </c>
      <c r="C7" s="57" t="s">
        <v>37</v>
      </c>
      <c r="D7" s="56" t="s">
        <v>36</v>
      </c>
      <c r="E7" s="57" t="s">
        <v>37</v>
      </c>
      <c r="F7" s="56" t="s">
        <v>36</v>
      </c>
      <c r="G7" s="57" t="s">
        <v>37</v>
      </c>
      <c r="H7" s="56" t="s">
        <v>36</v>
      </c>
      <c r="I7" s="57" t="s">
        <v>37</v>
      </c>
      <c r="J7" s="56" t="s">
        <v>36</v>
      </c>
      <c r="K7" s="57" t="s">
        <v>37</v>
      </c>
      <c r="L7" s="61" t="s">
        <v>36</v>
      </c>
      <c r="M7" s="57" t="s">
        <v>37</v>
      </c>
    </row>
    <row r="8" spans="1:13" ht="13.5">
      <c r="A8" s="54" t="s">
        <v>8</v>
      </c>
      <c r="B8" s="58">
        <f>13928.87</f>
        <v>13928.87</v>
      </c>
      <c r="C8" s="59">
        <f>B8</f>
        <v>13928.87</v>
      </c>
      <c r="D8" s="76">
        <v>210.3</v>
      </c>
      <c r="E8" s="74">
        <f>D8</f>
        <v>210.3</v>
      </c>
      <c r="F8" s="65">
        <v>2292.45</v>
      </c>
      <c r="G8" s="59">
        <f>F8</f>
        <v>2292.45</v>
      </c>
      <c r="H8" s="65">
        <v>2268.18</v>
      </c>
      <c r="I8" s="59">
        <f>H8</f>
        <v>2268.18</v>
      </c>
      <c r="J8" s="58">
        <v>3206.28</v>
      </c>
      <c r="K8" s="59">
        <f>J8</f>
        <v>3206.28</v>
      </c>
      <c r="L8" s="65">
        <v>6140.44</v>
      </c>
      <c r="M8" s="59">
        <f>L8</f>
        <v>6140.44</v>
      </c>
    </row>
    <row r="9" spans="1:13" ht="13.5">
      <c r="A9" s="54" t="s">
        <v>9</v>
      </c>
      <c r="B9" s="18">
        <f>26664.85</f>
        <v>26664.85</v>
      </c>
      <c r="C9" s="14">
        <f aca="true" t="shared" si="0" ref="C9:C18">B9-B8</f>
        <v>12735.979999999998</v>
      </c>
      <c r="D9" s="77">
        <v>432.25</v>
      </c>
      <c r="E9" s="75">
        <f aca="true" t="shared" si="1" ref="E9:E18">D9-D8</f>
        <v>221.95</v>
      </c>
      <c r="F9" s="66">
        <v>4292.31</v>
      </c>
      <c r="G9" s="14">
        <f aca="true" t="shared" si="2" ref="G9:G18">F9-F8</f>
        <v>1999.8600000000006</v>
      </c>
      <c r="H9" s="66">
        <v>4422.48</v>
      </c>
      <c r="I9" s="14">
        <f aca="true" t="shared" si="3" ref="I9:I18">H9-H8</f>
        <v>2154.2999999999997</v>
      </c>
      <c r="J9" s="18">
        <v>5360.17</v>
      </c>
      <c r="K9" s="14">
        <f aca="true" t="shared" si="4" ref="K9:K18">J9-J8</f>
        <v>2153.89</v>
      </c>
      <c r="L9" s="66">
        <v>10304.31</v>
      </c>
      <c r="M9" s="14">
        <f aca="true" t="shared" si="5" ref="M9:M18">L9-L8</f>
        <v>4163.87</v>
      </c>
    </row>
    <row r="10" spans="1:13" ht="13.5">
      <c r="A10" s="54" t="s">
        <v>10</v>
      </c>
      <c r="B10" s="18">
        <f>37416.3</f>
        <v>37416.3</v>
      </c>
      <c r="C10" s="14">
        <f t="shared" si="0"/>
        <v>10751.450000000004</v>
      </c>
      <c r="D10" s="77">
        <v>658.1</v>
      </c>
      <c r="E10" s="75">
        <f t="shared" si="1"/>
        <v>225.85000000000002</v>
      </c>
      <c r="F10" s="66">
        <v>6017.63</v>
      </c>
      <c r="G10" s="14">
        <f t="shared" si="2"/>
        <v>1725.3199999999997</v>
      </c>
      <c r="H10" s="62">
        <v>6658.62</v>
      </c>
      <c r="I10" s="14">
        <f t="shared" si="3"/>
        <v>2236.1400000000003</v>
      </c>
      <c r="J10" s="64">
        <v>7546.38</v>
      </c>
      <c r="K10" s="14">
        <f t="shared" si="4"/>
        <v>2186.21</v>
      </c>
      <c r="L10" s="66">
        <v>14701.33</v>
      </c>
      <c r="M10" s="14">
        <f t="shared" si="5"/>
        <v>4397.02</v>
      </c>
    </row>
    <row r="11" spans="1:13" ht="13.5">
      <c r="A11" s="54" t="s">
        <v>11</v>
      </c>
      <c r="B11" s="18">
        <f>47488.59</f>
        <v>47488.59</v>
      </c>
      <c r="C11" s="14">
        <f t="shared" si="0"/>
        <v>10072.289999999994</v>
      </c>
      <c r="D11" s="77">
        <v>837.19</v>
      </c>
      <c r="E11" s="75">
        <f t="shared" si="1"/>
        <v>179.09000000000003</v>
      </c>
      <c r="F11" s="66">
        <v>7744.05</v>
      </c>
      <c r="G11" s="14">
        <f t="shared" si="2"/>
        <v>1726.42</v>
      </c>
      <c r="H11" s="66">
        <v>8744.5</v>
      </c>
      <c r="I11" s="14">
        <f t="shared" si="3"/>
        <v>2085.88</v>
      </c>
      <c r="J11" s="18">
        <v>9751.64</v>
      </c>
      <c r="K11" s="14">
        <f t="shared" si="4"/>
        <v>2205.2599999999993</v>
      </c>
      <c r="L11" s="66">
        <v>18446.37</v>
      </c>
      <c r="M11" s="14">
        <f t="shared" si="5"/>
        <v>3745.039999999999</v>
      </c>
    </row>
    <row r="12" spans="1:13" ht="13.5">
      <c r="A12" s="54" t="s">
        <v>12</v>
      </c>
      <c r="B12" s="18">
        <f>58695.45</f>
        <v>58695.45</v>
      </c>
      <c r="C12" s="14">
        <f t="shared" si="0"/>
        <v>11206.86</v>
      </c>
      <c r="D12" s="77">
        <v>1171.79</v>
      </c>
      <c r="E12" s="75">
        <f t="shared" si="1"/>
        <v>334.5999999999999</v>
      </c>
      <c r="F12" s="66">
        <v>9711.87</v>
      </c>
      <c r="G12" s="14">
        <f t="shared" si="2"/>
        <v>1967.8200000000006</v>
      </c>
      <c r="H12" s="62">
        <v>10822.58</v>
      </c>
      <c r="I12" s="14">
        <f t="shared" si="3"/>
        <v>2078.08</v>
      </c>
      <c r="J12" s="64">
        <v>11777.87</v>
      </c>
      <c r="K12" s="14">
        <f t="shared" si="4"/>
        <v>2026.2300000000014</v>
      </c>
      <c r="L12" s="66">
        <v>22274.3</v>
      </c>
      <c r="M12" s="14">
        <f t="shared" si="5"/>
        <v>3827.9300000000003</v>
      </c>
    </row>
    <row r="13" spans="1:13" ht="13.5">
      <c r="A13" s="54" t="s">
        <v>13</v>
      </c>
      <c r="B13" s="18">
        <f>70139.59</f>
        <v>70139.59</v>
      </c>
      <c r="C13" s="14">
        <f t="shared" si="0"/>
        <v>11444.14</v>
      </c>
      <c r="D13" s="77">
        <v>1396.75</v>
      </c>
      <c r="E13" s="75">
        <f t="shared" si="1"/>
        <v>224.96000000000004</v>
      </c>
      <c r="F13" s="66">
        <v>11545.77</v>
      </c>
      <c r="G13" s="14">
        <f t="shared" si="2"/>
        <v>1833.8999999999996</v>
      </c>
      <c r="H13" s="66">
        <v>12570.19</v>
      </c>
      <c r="I13" s="14">
        <f t="shared" si="3"/>
        <v>1747.6100000000006</v>
      </c>
      <c r="J13" s="18">
        <v>13769.56</v>
      </c>
      <c r="K13" s="14">
        <f t="shared" si="4"/>
        <v>1991.6899999999987</v>
      </c>
      <c r="L13" s="66">
        <v>26731.56</v>
      </c>
      <c r="M13" s="14">
        <f t="shared" si="5"/>
        <v>4457.260000000002</v>
      </c>
    </row>
    <row r="14" spans="1:16" ht="13.5">
      <c r="A14" s="54" t="s">
        <v>14</v>
      </c>
      <c r="B14" s="18">
        <f>84751.72</f>
        <v>84751.72</v>
      </c>
      <c r="C14" s="14">
        <f t="shared" si="0"/>
        <v>14612.130000000005</v>
      </c>
      <c r="D14" s="77">
        <v>1698.7</v>
      </c>
      <c r="E14" s="75">
        <f t="shared" si="1"/>
        <v>301.95000000000005</v>
      </c>
      <c r="F14" s="66">
        <v>13915.44</v>
      </c>
      <c r="G14" s="14">
        <f t="shared" si="2"/>
        <v>2369.67</v>
      </c>
      <c r="H14" s="66">
        <v>14680.5</v>
      </c>
      <c r="I14" s="14">
        <f t="shared" si="3"/>
        <v>2110.3099999999995</v>
      </c>
      <c r="J14" s="18">
        <v>17172.94</v>
      </c>
      <c r="K14" s="14">
        <f t="shared" si="4"/>
        <v>3403.379999999999</v>
      </c>
      <c r="L14" s="66">
        <v>34171.46</v>
      </c>
      <c r="M14" s="14">
        <f t="shared" si="5"/>
        <v>7439.899999999998</v>
      </c>
      <c r="P14" s="52"/>
    </row>
    <row r="15" spans="1:16" ht="13.5">
      <c r="A15" s="54" t="s">
        <v>1</v>
      </c>
      <c r="B15" s="18">
        <v>97528.1</v>
      </c>
      <c r="C15" s="14">
        <f t="shared" si="0"/>
        <v>12776.380000000005</v>
      </c>
      <c r="D15" s="77">
        <v>1993.16</v>
      </c>
      <c r="E15" s="75">
        <f t="shared" si="1"/>
        <v>294.46000000000004</v>
      </c>
      <c r="F15" s="66">
        <v>16183.01</v>
      </c>
      <c r="G15" s="14">
        <f t="shared" si="2"/>
        <v>2267.5699999999997</v>
      </c>
      <c r="H15" s="66">
        <v>16650.61</v>
      </c>
      <c r="I15" s="14">
        <f t="shared" si="3"/>
        <v>1970.1100000000006</v>
      </c>
      <c r="J15" s="18">
        <v>20023.8</v>
      </c>
      <c r="K15" s="14">
        <f t="shared" si="4"/>
        <v>2850.8600000000006</v>
      </c>
      <c r="L15" s="66">
        <v>39241.21</v>
      </c>
      <c r="M15" s="14">
        <f t="shared" si="5"/>
        <v>5069.75</v>
      </c>
      <c r="O15" s="52"/>
      <c r="P15" s="52"/>
    </row>
    <row r="16" spans="1:16" ht="13.5">
      <c r="A16" s="54" t="s">
        <v>2</v>
      </c>
      <c r="B16" s="18">
        <v>108627.02</v>
      </c>
      <c r="C16" s="14">
        <f t="shared" si="0"/>
        <v>11098.919999999998</v>
      </c>
      <c r="D16" s="77">
        <v>2192.1</v>
      </c>
      <c r="E16" s="75">
        <f t="shared" si="1"/>
        <v>198.93999999999983</v>
      </c>
      <c r="F16" s="66">
        <v>18082.92</v>
      </c>
      <c r="G16" s="14">
        <f t="shared" si="2"/>
        <v>1899.909999999998</v>
      </c>
      <c r="H16" s="66">
        <v>18163.37</v>
      </c>
      <c r="I16" s="14">
        <f t="shared" si="3"/>
        <v>1512.7599999999984</v>
      </c>
      <c r="J16" s="18">
        <v>22272.49</v>
      </c>
      <c r="K16" s="14">
        <f t="shared" si="4"/>
        <v>2248.6900000000023</v>
      </c>
      <c r="L16" s="66">
        <v>43954.4</v>
      </c>
      <c r="M16" s="14">
        <f t="shared" si="5"/>
        <v>4713.190000000002</v>
      </c>
      <c r="P16" s="52"/>
    </row>
    <row r="17" spans="1:16" ht="13.5">
      <c r="A17" s="54" t="s">
        <v>3</v>
      </c>
      <c r="B17" s="18">
        <v>120205.67</v>
      </c>
      <c r="C17" s="14">
        <f t="shared" si="0"/>
        <v>11578.649999999994</v>
      </c>
      <c r="D17" s="77">
        <v>2392.1</v>
      </c>
      <c r="E17" s="75">
        <f t="shared" si="1"/>
        <v>200</v>
      </c>
      <c r="F17" s="66">
        <v>20268.4</v>
      </c>
      <c r="G17" s="14">
        <f t="shared" si="2"/>
        <v>2185.480000000003</v>
      </c>
      <c r="H17" s="66">
        <v>20020.93</v>
      </c>
      <c r="I17" s="14">
        <f t="shared" si="3"/>
        <v>1857.5600000000013</v>
      </c>
      <c r="J17" s="18">
        <v>24849.71</v>
      </c>
      <c r="K17" s="14">
        <f t="shared" si="4"/>
        <v>2577.2199999999975</v>
      </c>
      <c r="L17" s="66">
        <v>48476.66</v>
      </c>
      <c r="M17" s="14">
        <f t="shared" si="5"/>
        <v>4522.260000000002</v>
      </c>
      <c r="P17" s="52"/>
    </row>
    <row r="18" spans="1:16" ht="13.5">
      <c r="A18" s="54" t="s">
        <v>4</v>
      </c>
      <c r="B18" s="18">
        <v>131780.61</v>
      </c>
      <c r="C18" s="14">
        <f t="shared" si="0"/>
        <v>11574.939999999988</v>
      </c>
      <c r="D18" s="79">
        <v>2585.7</v>
      </c>
      <c r="E18" s="75">
        <f t="shared" si="1"/>
        <v>193.5999999999999</v>
      </c>
      <c r="F18" s="62">
        <v>23757.83</v>
      </c>
      <c r="G18" s="14">
        <f t="shared" si="2"/>
        <v>3489.4300000000003</v>
      </c>
      <c r="H18" s="62">
        <v>21622.32</v>
      </c>
      <c r="I18" s="14">
        <f t="shared" si="3"/>
        <v>1601.3899999999994</v>
      </c>
      <c r="J18" s="62">
        <v>27363.85</v>
      </c>
      <c r="K18" s="14">
        <f t="shared" si="4"/>
        <v>2514.1399999999994</v>
      </c>
      <c r="L18" s="62">
        <v>53800.9</v>
      </c>
      <c r="M18" s="14">
        <f t="shared" si="5"/>
        <v>5324.239999999998</v>
      </c>
      <c r="P18" s="53"/>
    </row>
    <row r="19" spans="1:13" ht="14.25" thickBot="1">
      <c r="A19" s="55" t="s">
        <v>5</v>
      </c>
      <c r="B19" s="60"/>
      <c r="C19" s="48"/>
      <c r="D19" s="78"/>
      <c r="E19" s="48"/>
      <c r="F19" s="67"/>
      <c r="G19" s="48"/>
      <c r="H19" s="67"/>
      <c r="I19" s="48"/>
      <c r="J19" s="60"/>
      <c r="K19" s="48"/>
      <c r="L19" s="67"/>
      <c r="M19" s="48"/>
    </row>
    <row r="22" spans="1:13" ht="12.75">
      <c r="A22" s="101" t="s">
        <v>41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2.75">
      <c r="A24" s="101" t="s">
        <v>51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8" spans="3:7" ht="12.75">
      <c r="C28" s="99" t="s">
        <v>53</v>
      </c>
      <c r="D28" s="99"/>
      <c r="E28" s="99"/>
      <c r="F28" s="100" t="s">
        <v>52</v>
      </c>
      <c r="G28" s="100" t="s">
        <v>54</v>
      </c>
    </row>
    <row r="29" spans="3:7" ht="12.75">
      <c r="C29" s="69" t="s">
        <v>56</v>
      </c>
      <c r="D29" s="69" t="s">
        <v>49</v>
      </c>
      <c r="E29" s="68" t="s">
        <v>58</v>
      </c>
      <c r="F29" s="100"/>
      <c r="G29" s="100"/>
    </row>
    <row r="30" spans="3:7" ht="12.75">
      <c r="C30" s="69" t="s">
        <v>55</v>
      </c>
      <c r="D30" s="69" t="s">
        <v>57</v>
      </c>
      <c r="E30" s="70"/>
      <c r="F30" s="68"/>
      <c r="G30" s="68"/>
    </row>
    <row r="31" spans="3:7" ht="12.75">
      <c r="C31" s="71">
        <v>139288.7</v>
      </c>
      <c r="D31" s="71">
        <v>2103</v>
      </c>
      <c r="E31" s="71">
        <f>C31+D31</f>
        <v>141391.7</v>
      </c>
      <c r="F31" s="71">
        <v>141333.96</v>
      </c>
      <c r="G31" s="71">
        <f>E31-F31</f>
        <v>57.74000000001979</v>
      </c>
    </row>
    <row r="32" spans="3:7" ht="12.75">
      <c r="C32" s="71">
        <v>127359.8</v>
      </c>
      <c r="D32" s="71">
        <v>2219.5</v>
      </c>
      <c r="E32" s="71">
        <f aca="true" t="shared" si="6" ref="E32:E41">C32+D32</f>
        <v>129579.3</v>
      </c>
      <c r="F32" s="71">
        <v>129248.79</v>
      </c>
      <c r="G32" s="71">
        <f aca="true" t="shared" si="7" ref="G32:G41">E32-F32</f>
        <v>330.5100000000093</v>
      </c>
    </row>
    <row r="33" spans="3:7" ht="12.75">
      <c r="C33" s="71">
        <v>107514.5</v>
      </c>
      <c r="D33" s="71">
        <v>2258.5</v>
      </c>
      <c r="E33" s="71">
        <f t="shared" si="6"/>
        <v>109773</v>
      </c>
      <c r="F33" s="71">
        <v>109446.91</v>
      </c>
      <c r="G33" s="71">
        <f t="shared" si="7"/>
        <v>326.0899999999965</v>
      </c>
    </row>
    <row r="34" spans="3:7" ht="12.75">
      <c r="C34" s="71">
        <v>100722.9</v>
      </c>
      <c r="D34" s="71">
        <v>1790.9</v>
      </c>
      <c r="E34" s="71">
        <f t="shared" si="6"/>
        <v>102513.79999999999</v>
      </c>
      <c r="F34" s="71">
        <v>102830.84</v>
      </c>
      <c r="G34" s="71">
        <f t="shared" si="7"/>
        <v>-317.04000000000815</v>
      </c>
    </row>
    <row r="35" spans="3:7" ht="12.75">
      <c r="C35" s="71">
        <v>112068.6</v>
      </c>
      <c r="D35" s="71">
        <v>3346</v>
      </c>
      <c r="E35" s="71">
        <f t="shared" si="6"/>
        <v>115414.6</v>
      </c>
      <c r="F35" s="71">
        <v>114583.78</v>
      </c>
      <c r="G35" s="71">
        <f t="shared" si="7"/>
        <v>830.820000000007</v>
      </c>
    </row>
    <row r="36" spans="3:7" ht="12.75">
      <c r="C36" s="71">
        <v>114441.4</v>
      </c>
      <c r="D36" s="71">
        <v>2249.6</v>
      </c>
      <c r="E36" s="71">
        <f t="shared" si="6"/>
        <v>116691</v>
      </c>
      <c r="F36" s="71">
        <v>116355.38</v>
      </c>
      <c r="G36" s="71">
        <f t="shared" si="7"/>
        <v>335.61999999999534</v>
      </c>
    </row>
    <row r="37" spans="3:7" ht="12.75">
      <c r="C37" s="71">
        <v>146121.3</v>
      </c>
      <c r="D37" s="71">
        <v>3019.5</v>
      </c>
      <c r="E37" s="71">
        <f t="shared" si="6"/>
        <v>149140.8</v>
      </c>
      <c r="F37" s="71">
        <v>114583.78</v>
      </c>
      <c r="G37" s="71">
        <f t="shared" si="7"/>
        <v>34557.01999999999</v>
      </c>
    </row>
    <row r="38" spans="3:7" ht="12.75">
      <c r="C38" s="71">
        <v>127760</v>
      </c>
      <c r="D38" s="71">
        <v>2940</v>
      </c>
      <c r="E38" s="71">
        <f t="shared" si="6"/>
        <v>130700</v>
      </c>
      <c r="F38" s="71">
        <v>130098.65</v>
      </c>
      <c r="G38" s="71">
        <f t="shared" si="7"/>
        <v>601.3500000000058</v>
      </c>
    </row>
    <row r="39" spans="3:7" ht="12.75">
      <c r="C39" s="71">
        <v>110990</v>
      </c>
      <c r="D39" s="71">
        <v>1990</v>
      </c>
      <c r="E39" s="71">
        <f t="shared" si="6"/>
        <v>112980</v>
      </c>
      <c r="F39" s="71">
        <f>112813.17+34113.39</f>
        <v>146926.56</v>
      </c>
      <c r="G39" s="71">
        <f t="shared" si="7"/>
        <v>-33946.56</v>
      </c>
    </row>
    <row r="40" spans="3:7" ht="12.75">
      <c r="C40" s="71">
        <v>115790</v>
      </c>
      <c r="D40" s="71">
        <v>2000</v>
      </c>
      <c r="E40" s="71">
        <f t="shared" si="6"/>
        <v>117790</v>
      </c>
      <c r="F40" s="71">
        <v>117228.81</v>
      </c>
      <c r="G40" s="71">
        <f t="shared" si="7"/>
        <v>561.1900000000023</v>
      </c>
    </row>
    <row r="41" spans="3:7" ht="12.75">
      <c r="C41" s="71">
        <v>115750</v>
      </c>
      <c r="D41" s="71">
        <v>1940</v>
      </c>
      <c r="E41" s="71">
        <f t="shared" si="6"/>
        <v>117690</v>
      </c>
      <c r="F41" s="71">
        <v>117671.57</v>
      </c>
      <c r="G41" s="71">
        <f t="shared" si="7"/>
        <v>18.429999999993015</v>
      </c>
    </row>
    <row r="42" spans="3:7" ht="12.75">
      <c r="C42" s="99" t="s">
        <v>43</v>
      </c>
      <c r="D42" s="99"/>
      <c r="E42" s="99"/>
      <c r="F42" s="99"/>
      <c r="G42" s="72">
        <f>SUM(G31:G41)</f>
        <v>3355.170000000013</v>
      </c>
    </row>
    <row r="45" spans="3:7" ht="12.75">
      <c r="C45" s="99" t="s">
        <v>59</v>
      </c>
      <c r="D45" s="99"/>
      <c r="E45" s="99"/>
      <c r="F45" s="100" t="s">
        <v>52</v>
      </c>
      <c r="G45" s="100" t="s">
        <v>54</v>
      </c>
    </row>
    <row r="46" spans="3:7" ht="12.75">
      <c r="C46" s="69" t="s">
        <v>56</v>
      </c>
      <c r="D46" s="69" t="s">
        <v>49</v>
      </c>
      <c r="E46" s="68" t="s">
        <v>58</v>
      </c>
      <c r="F46" s="100"/>
      <c r="G46" s="100"/>
    </row>
    <row r="47" spans="3:7" ht="12.75">
      <c r="C47" s="69" t="s">
        <v>55</v>
      </c>
      <c r="D47" s="69" t="s">
        <v>57</v>
      </c>
      <c r="E47" s="70"/>
      <c r="F47" s="68"/>
      <c r="G47" s="68"/>
    </row>
    <row r="48" spans="3:7" ht="12.75">
      <c r="C48" s="71">
        <v>139288.7</v>
      </c>
      <c r="D48" s="73">
        <v>2045.26</v>
      </c>
      <c r="E48" s="71">
        <f>C48+D48</f>
        <v>141333.96000000002</v>
      </c>
      <c r="F48" s="71">
        <v>141333.96</v>
      </c>
      <c r="G48" s="71">
        <f>E48-F48</f>
        <v>0</v>
      </c>
    </row>
    <row r="49" spans="3:7" ht="12.75">
      <c r="C49" s="71">
        <v>127359.8</v>
      </c>
      <c r="D49" s="73">
        <v>1888.99</v>
      </c>
      <c r="E49" s="71">
        <f aca="true" t="shared" si="8" ref="E49:E58">C49+D49</f>
        <v>129248.79000000001</v>
      </c>
      <c r="F49" s="71">
        <v>129248.79</v>
      </c>
      <c r="G49" s="71">
        <f aca="true" t="shared" si="9" ref="G49:G58">E49-F49</f>
        <v>0</v>
      </c>
    </row>
    <row r="50" spans="3:7" ht="12.75">
      <c r="C50" s="71">
        <v>107514.5</v>
      </c>
      <c r="D50" s="73">
        <v>1932.41</v>
      </c>
      <c r="E50" s="71">
        <f t="shared" si="8"/>
        <v>109446.91</v>
      </c>
      <c r="F50" s="71">
        <v>109446.91</v>
      </c>
      <c r="G50" s="71">
        <f t="shared" si="9"/>
        <v>0</v>
      </c>
    </row>
    <row r="51" spans="3:7" ht="12.75">
      <c r="C51" s="71">
        <v>100722.9</v>
      </c>
      <c r="D51" s="73">
        <v>2107.94</v>
      </c>
      <c r="E51" s="71">
        <f t="shared" si="8"/>
        <v>102830.84</v>
      </c>
      <c r="F51" s="71">
        <v>102830.84</v>
      </c>
      <c r="G51" s="71">
        <f t="shared" si="9"/>
        <v>0</v>
      </c>
    </row>
    <row r="52" spans="3:7" ht="12.75">
      <c r="C52" s="71">
        <v>112068.6</v>
      </c>
      <c r="D52" s="73">
        <v>2515.18</v>
      </c>
      <c r="E52" s="71">
        <f t="shared" si="8"/>
        <v>114583.78</v>
      </c>
      <c r="F52" s="71">
        <v>114583.78</v>
      </c>
      <c r="G52" s="71">
        <f t="shared" si="9"/>
        <v>0</v>
      </c>
    </row>
    <row r="53" spans="3:7" ht="12.75">
      <c r="C53" s="71">
        <v>114441.4</v>
      </c>
      <c r="D53" s="73">
        <v>1913.98</v>
      </c>
      <c r="E53" s="71">
        <f t="shared" si="8"/>
        <v>116355.37999999999</v>
      </c>
      <c r="F53" s="71">
        <v>116355.38</v>
      </c>
      <c r="G53" s="71">
        <f t="shared" si="9"/>
        <v>0</v>
      </c>
    </row>
    <row r="54" spans="3:7" ht="12.75">
      <c r="C54" s="71">
        <v>146121.3</v>
      </c>
      <c r="D54" s="73">
        <v>2575.87</v>
      </c>
      <c r="E54" s="71">
        <f t="shared" si="8"/>
        <v>148697.16999999998</v>
      </c>
      <c r="F54" s="71">
        <v>114583.78</v>
      </c>
      <c r="G54" s="71">
        <f t="shared" si="9"/>
        <v>34113.389999999985</v>
      </c>
    </row>
    <row r="55" spans="3:7" ht="12.75">
      <c r="C55" s="71">
        <v>127760</v>
      </c>
      <c r="D55" s="71">
        <v>2940</v>
      </c>
      <c r="E55" s="71">
        <f t="shared" si="8"/>
        <v>130700</v>
      </c>
      <c r="F55" s="71">
        <v>130098.65</v>
      </c>
      <c r="G55" s="71">
        <f t="shared" si="9"/>
        <v>601.3500000000058</v>
      </c>
    </row>
    <row r="56" spans="3:7" ht="12.75">
      <c r="C56" s="71">
        <v>110990</v>
      </c>
      <c r="D56" s="71">
        <v>1990</v>
      </c>
      <c r="E56" s="71">
        <f t="shared" si="8"/>
        <v>112980</v>
      </c>
      <c r="F56" s="71">
        <f>112813.17+34113.39</f>
        <v>146926.56</v>
      </c>
      <c r="G56" s="71">
        <f t="shared" si="9"/>
        <v>-33946.56</v>
      </c>
    </row>
    <row r="57" spans="3:7" ht="12.75">
      <c r="C57" s="71">
        <v>115790</v>
      </c>
      <c r="D57" s="71">
        <v>2000</v>
      </c>
      <c r="E57" s="71">
        <f t="shared" si="8"/>
        <v>117790</v>
      </c>
      <c r="F57" s="71">
        <v>117228.81</v>
      </c>
      <c r="G57" s="71">
        <f t="shared" si="9"/>
        <v>561.1900000000023</v>
      </c>
    </row>
    <row r="58" spans="3:7" ht="12.75">
      <c r="C58" s="71">
        <v>115750</v>
      </c>
      <c r="D58" s="71">
        <v>1940</v>
      </c>
      <c r="E58" s="71">
        <f t="shared" si="8"/>
        <v>117690</v>
      </c>
      <c r="F58" s="71">
        <v>117671.57</v>
      </c>
      <c r="G58" s="71">
        <f t="shared" si="9"/>
        <v>18.429999999993015</v>
      </c>
    </row>
    <row r="59" spans="3:7" ht="12.75">
      <c r="C59" s="99" t="s">
        <v>43</v>
      </c>
      <c r="D59" s="99"/>
      <c r="E59" s="99"/>
      <c r="F59" s="99"/>
      <c r="G59" s="72">
        <f>SUM(G48:G58)</f>
        <v>1347.7999999999884</v>
      </c>
    </row>
  </sheetData>
  <sheetProtection/>
  <mergeCells count="19">
    <mergeCell ref="C45:E45"/>
    <mergeCell ref="F45:F46"/>
    <mergeCell ref="G45:G46"/>
    <mergeCell ref="C59:F59"/>
    <mergeCell ref="A24:M25"/>
    <mergeCell ref="A22:M23"/>
    <mergeCell ref="C28:E28"/>
    <mergeCell ref="F28:F29"/>
    <mergeCell ref="G28:G29"/>
    <mergeCell ref="C42:F42"/>
    <mergeCell ref="A2:M2"/>
    <mergeCell ref="A3:M3"/>
    <mergeCell ref="A4:M4"/>
    <mergeCell ref="B6:C6"/>
    <mergeCell ref="F6:G6"/>
    <mergeCell ref="H6:I6"/>
    <mergeCell ref="J6:K6"/>
    <mergeCell ref="L6:M6"/>
    <mergeCell ref="D6:E6"/>
  </mergeCells>
  <printOptions horizontalCentered="1"/>
  <pageMargins left="0.15748031496062992" right="0.3937007874015748" top="0.984251968503937" bottom="0.984251968503937" header="0" footer="0.45"/>
  <pageSetup horizontalDpi="600" verticalDpi="600" orientation="landscape" paperSize="9" scale="91" r:id="rId1"/>
  <headerFooter alignWithMargins="0">
    <oddFooter>&amp;L&amp;9Fuente: Fondo de Compensación del SOAT y del CAT&amp;R&amp;9&amp;P/&amp;N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GSUAREZ</dc:creator>
  <cp:keywords/>
  <dc:description/>
  <cp:lastModifiedBy>GSuarez</cp:lastModifiedBy>
  <cp:lastPrinted>2011-12-07T16:17:39Z</cp:lastPrinted>
  <dcterms:created xsi:type="dcterms:W3CDTF">2004-08-27T14:51:49Z</dcterms:created>
  <dcterms:modified xsi:type="dcterms:W3CDTF">2013-01-30T21:54:18Z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-1058603579</vt:i4>
  </property>
  <property fmtid="{D5CDD505-2E9C-101B-9397-08002B2CF9AE}" pid="3" name="_EmailSubject">
    <vt:lpwstr/>
  </property>
  <property fmtid="{D5CDD505-2E9C-101B-9397-08002B2CF9AE}" pid="4" name="_AuthorEmail">
    <vt:lpwstr>JPortales@mtc.gob.pe</vt:lpwstr>
  </property>
  <property fmtid="{D5CDD505-2E9C-101B-9397-08002B2CF9AE}" pid="5" name="_AuthorEmailDisplayName">
    <vt:lpwstr>Portales Segura, Jaime Orlando</vt:lpwstr>
  </property>
  <property fmtid="{D5CDD505-2E9C-101B-9397-08002B2CF9AE}" pid="6" name="_ReviewingToolsShownOnce">
    <vt:lpwstr/>
  </property>
</Properties>
</file>